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\Documents\Klimaat\CO2 Huishouding\Final figures\All necessary  files\"/>
    </mc:Choice>
  </mc:AlternateContent>
  <xr:revisionPtr revIDLastSave="0" documentId="13_ncr:1_{46532A0F-951D-41F1-9696-77C1AC9E91AA}" xr6:coauthVersionLast="45" xr6:coauthVersionMax="45" xr10:uidLastSave="{00000000-0000-0000-0000-000000000000}"/>
  <bookViews>
    <workbookView xWindow="2295" yWindow="-165" windowWidth="33840" windowHeight="19920" xr2:uid="{C28213F7-97EA-4688-B420-58DC9C36C3B2}"/>
  </bookViews>
  <sheets>
    <sheet name="Calculus" sheetId="1" r:id="rId1"/>
    <sheet name="Input data" sheetId="3" r:id="rId2"/>
    <sheet name="Analytical" sheetId="5" r:id="rId3"/>
    <sheet name="Deviations" sheetId="4" r:id="rId4"/>
    <sheet name="Future scenarios" sheetId="2" r:id="rId5"/>
    <sheet name="Airborne fraction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" i="1" l="1"/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 l="1"/>
  <c r="D4" i="1" l="1"/>
  <c r="H4" i="1" l="1"/>
  <c r="G4" i="1"/>
  <c r="AG4" i="1" s="1"/>
  <c r="G5" i="1"/>
  <c r="AG5" i="1" s="1"/>
  <c r="G6" i="1"/>
  <c r="AG6" i="1" s="1"/>
  <c r="G7" i="1"/>
  <c r="AG7" i="1" s="1"/>
  <c r="G8" i="1"/>
  <c r="AG8" i="1" s="1"/>
  <c r="G9" i="1"/>
  <c r="AG9" i="1" s="1"/>
  <c r="G10" i="1"/>
  <c r="AG10" i="1" s="1"/>
  <c r="G11" i="1"/>
  <c r="AG11" i="1" s="1"/>
  <c r="G12" i="1"/>
  <c r="AG12" i="1" s="1"/>
  <c r="G13" i="1"/>
  <c r="AG13" i="1" s="1"/>
  <c r="G14" i="1"/>
  <c r="AG14" i="1" s="1"/>
  <c r="G15" i="1"/>
  <c r="AG15" i="1" s="1"/>
  <c r="G16" i="1"/>
  <c r="AG16" i="1" s="1"/>
  <c r="G17" i="1"/>
  <c r="AG17" i="1" s="1"/>
  <c r="G18" i="1"/>
  <c r="AG18" i="1" s="1"/>
  <c r="G19" i="1"/>
  <c r="AG19" i="1" s="1"/>
  <c r="G20" i="1"/>
  <c r="AG20" i="1" s="1"/>
  <c r="G21" i="1"/>
  <c r="AG21" i="1" s="1"/>
  <c r="G22" i="1"/>
  <c r="AG22" i="1" s="1"/>
  <c r="G23" i="1"/>
  <c r="AG23" i="1" s="1"/>
  <c r="G24" i="1"/>
  <c r="AG24" i="1" s="1"/>
  <c r="G25" i="1"/>
  <c r="AG25" i="1" s="1"/>
  <c r="G26" i="1"/>
  <c r="AG26" i="1" s="1"/>
  <c r="G27" i="1"/>
  <c r="AG27" i="1" s="1"/>
  <c r="G28" i="1"/>
  <c r="AG28" i="1" s="1"/>
  <c r="G29" i="1"/>
  <c r="AG29" i="1" s="1"/>
  <c r="G30" i="1"/>
  <c r="AG30" i="1" s="1"/>
  <c r="G31" i="1"/>
  <c r="AG31" i="1" s="1"/>
  <c r="G32" i="1"/>
  <c r="AG32" i="1" s="1"/>
  <c r="G33" i="1"/>
  <c r="AG33" i="1" s="1"/>
  <c r="G34" i="1"/>
  <c r="AG34" i="1" s="1"/>
  <c r="G35" i="1"/>
  <c r="AG35" i="1" s="1"/>
  <c r="G36" i="1"/>
  <c r="AG36" i="1" s="1"/>
  <c r="G37" i="1"/>
  <c r="AG37" i="1" s="1"/>
  <c r="G38" i="1"/>
  <c r="AG38" i="1" s="1"/>
  <c r="G39" i="1"/>
  <c r="AG39" i="1" s="1"/>
  <c r="G40" i="1"/>
  <c r="AG40" i="1" s="1"/>
  <c r="G41" i="1"/>
  <c r="AG41" i="1" s="1"/>
  <c r="G42" i="1"/>
  <c r="AG42" i="1" s="1"/>
  <c r="G43" i="1"/>
  <c r="AG43" i="1" s="1"/>
  <c r="G44" i="1"/>
  <c r="AG44" i="1" s="1"/>
  <c r="G45" i="1"/>
  <c r="AG45" i="1" s="1"/>
  <c r="G46" i="1"/>
  <c r="AG46" i="1" s="1"/>
  <c r="G47" i="1"/>
  <c r="AG47" i="1" s="1"/>
  <c r="G48" i="1"/>
  <c r="AG48" i="1" s="1"/>
  <c r="G49" i="1"/>
  <c r="AG49" i="1" s="1"/>
  <c r="G50" i="1"/>
  <c r="AG50" i="1" s="1"/>
  <c r="G51" i="1"/>
  <c r="AG51" i="1" s="1"/>
  <c r="G52" i="1"/>
  <c r="AG52" i="1" s="1"/>
  <c r="G53" i="1"/>
  <c r="AG53" i="1" s="1"/>
  <c r="G54" i="1"/>
  <c r="AG54" i="1" s="1"/>
  <c r="G55" i="1"/>
  <c r="AG55" i="1" s="1"/>
  <c r="G56" i="1"/>
  <c r="AG56" i="1" s="1"/>
  <c r="G57" i="1"/>
  <c r="AG57" i="1" s="1"/>
  <c r="G58" i="1"/>
  <c r="AG58" i="1" s="1"/>
  <c r="G59" i="1"/>
  <c r="AG59" i="1" s="1"/>
  <c r="G60" i="1"/>
  <c r="AG60" i="1" s="1"/>
  <c r="G61" i="1"/>
  <c r="AG61" i="1" s="1"/>
  <c r="G62" i="1"/>
  <c r="AG62" i="1" s="1"/>
  <c r="AC4" i="1"/>
  <c r="AE4" i="1"/>
  <c r="AB4" i="1"/>
  <c r="X5" i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Z5" i="1"/>
  <c r="P62" i="1" l="1"/>
  <c r="P61" i="1" s="1"/>
  <c r="Z6" i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AE5" i="1"/>
  <c r="AC6" i="1"/>
  <c r="AC7" i="1"/>
  <c r="AC5" i="1"/>
  <c r="H3" i="1"/>
  <c r="N3" i="1"/>
  <c r="F63" i="1"/>
  <c r="G63" i="1" s="1"/>
  <c r="AG63" i="1" s="1"/>
  <c r="G3" i="1"/>
  <c r="D3" i="1"/>
  <c r="C4" i="1"/>
  <c r="C3" i="1"/>
  <c r="L4" i="1" l="1"/>
  <c r="J4" i="1"/>
  <c r="K4" i="1"/>
  <c r="AE6" i="1"/>
  <c r="AE8" i="1"/>
  <c r="AE7" i="1"/>
  <c r="P60" i="1"/>
  <c r="AC8" i="1"/>
  <c r="AE9" i="1"/>
  <c r="N4" i="1"/>
  <c r="N5" i="1" l="1"/>
  <c r="P59" i="1"/>
  <c r="AC9" i="1"/>
  <c r="AE10" i="1"/>
  <c r="N6" i="1" l="1"/>
  <c r="P58" i="1"/>
  <c r="AC10" i="1"/>
  <c r="AE11" i="1"/>
  <c r="V5" i="1"/>
  <c r="Y5" i="1" s="1"/>
  <c r="W5" i="1" l="1"/>
  <c r="N7" i="1"/>
  <c r="P57" i="1"/>
  <c r="AC11" i="1"/>
  <c r="AE12" i="1"/>
  <c r="V6" i="1"/>
  <c r="Y6" i="1" s="1"/>
  <c r="V7" i="1" l="1"/>
  <c r="Y7" i="1" s="1"/>
  <c r="N8" i="1"/>
  <c r="P56" i="1"/>
  <c r="W6" i="1"/>
  <c r="W7" i="1" s="1"/>
  <c r="AB5" i="1"/>
  <c r="AD5" i="1"/>
  <c r="AC12" i="1"/>
  <c r="AE13" i="1"/>
  <c r="A5" i="1"/>
  <c r="V8" i="1" l="1"/>
  <c r="Y8" i="1" s="1"/>
  <c r="N9" i="1"/>
  <c r="P55" i="1"/>
  <c r="D5" i="1"/>
  <c r="H5" i="1"/>
  <c r="AD6" i="1"/>
  <c r="AB6" i="1"/>
  <c r="AC13" i="1"/>
  <c r="AE14" i="1"/>
  <c r="A6" i="1"/>
  <c r="C5" i="1"/>
  <c r="K5" i="1" l="1"/>
  <c r="L5" i="1"/>
  <c r="J5" i="1"/>
  <c r="V9" i="1"/>
  <c r="Y9" i="1" s="1"/>
  <c r="W8" i="1"/>
  <c r="W9" i="1" s="1"/>
  <c r="N10" i="1"/>
  <c r="P54" i="1"/>
  <c r="D6" i="1"/>
  <c r="H6" i="1"/>
  <c r="AD7" i="1"/>
  <c r="AB7" i="1"/>
  <c r="AC14" i="1"/>
  <c r="AE15" i="1"/>
  <c r="A7" i="1"/>
  <c r="C6" i="1"/>
  <c r="V10" i="1" l="1"/>
  <c r="W10" i="1" s="1"/>
  <c r="K6" i="1"/>
  <c r="L6" i="1"/>
  <c r="J6" i="1"/>
  <c r="N11" i="1"/>
  <c r="P53" i="1"/>
  <c r="AB8" i="1"/>
  <c r="AD8" i="1"/>
  <c r="D7" i="1"/>
  <c r="H7" i="1"/>
  <c r="AC15" i="1"/>
  <c r="AE16" i="1"/>
  <c r="C7" i="1"/>
  <c r="A8" i="1"/>
  <c r="Y10" i="1" l="1"/>
  <c r="Y11" i="1" s="1"/>
  <c r="V11" i="1"/>
  <c r="K7" i="1"/>
  <c r="L7" i="1"/>
  <c r="J7" i="1"/>
  <c r="N12" i="1"/>
  <c r="P52" i="1"/>
  <c r="AD9" i="1"/>
  <c r="D8" i="1"/>
  <c r="H8" i="1"/>
  <c r="AB9" i="1"/>
  <c r="AC16" i="1"/>
  <c r="AE17" i="1"/>
  <c r="C8" i="1"/>
  <c r="A9" i="1"/>
  <c r="L8" i="1" l="1"/>
  <c r="J8" i="1"/>
  <c r="K8" i="1"/>
  <c r="V12" i="1"/>
  <c r="Y12" i="1" s="1"/>
  <c r="W11" i="1"/>
  <c r="W12" i="1" s="1"/>
  <c r="N13" i="1"/>
  <c r="P51" i="1"/>
  <c r="AB10" i="1"/>
  <c r="D9" i="1"/>
  <c r="H9" i="1"/>
  <c r="AD10" i="1"/>
  <c r="AC17" i="1"/>
  <c r="AE18" i="1"/>
  <c r="C9" i="1"/>
  <c r="A10" i="1"/>
  <c r="V13" i="1" l="1"/>
  <c r="Y13" i="1" s="1"/>
  <c r="L9" i="1"/>
  <c r="J9" i="1"/>
  <c r="K9" i="1"/>
  <c r="N14" i="1"/>
  <c r="P50" i="1"/>
  <c r="AD11" i="1"/>
  <c r="D10" i="1"/>
  <c r="H10" i="1"/>
  <c r="AB11" i="1"/>
  <c r="AC18" i="1"/>
  <c r="AE19" i="1"/>
  <c r="C10" i="1"/>
  <c r="A11" i="1"/>
  <c r="L10" i="1" l="1"/>
  <c r="J10" i="1"/>
  <c r="K10" i="1"/>
  <c r="V14" i="1"/>
  <c r="Y14" i="1" s="1"/>
  <c r="W13" i="1"/>
  <c r="W14" i="1" s="1"/>
  <c r="N15" i="1"/>
  <c r="P49" i="1"/>
  <c r="AB12" i="1"/>
  <c r="D11" i="1"/>
  <c r="H11" i="1"/>
  <c r="AD12" i="1"/>
  <c r="AC19" i="1"/>
  <c r="AE20" i="1"/>
  <c r="C11" i="1"/>
  <c r="A12" i="1"/>
  <c r="V15" i="1" l="1"/>
  <c r="Y15" i="1" s="1"/>
  <c r="K11" i="1"/>
  <c r="L11" i="1"/>
  <c r="J11" i="1"/>
  <c r="N16" i="1"/>
  <c r="P48" i="1"/>
  <c r="D12" i="1"/>
  <c r="H12" i="1"/>
  <c r="AB13" i="1"/>
  <c r="AD13" i="1"/>
  <c r="AC20" i="1"/>
  <c r="AE21" i="1"/>
  <c r="C12" i="1"/>
  <c r="A13" i="1"/>
  <c r="K12" i="1" l="1"/>
  <c r="L12" i="1"/>
  <c r="J12" i="1"/>
  <c r="V16" i="1"/>
  <c r="Y16" i="1" s="1"/>
  <c r="W15" i="1"/>
  <c r="W16" i="1" s="1"/>
  <c r="N17" i="1"/>
  <c r="P47" i="1"/>
  <c r="AB14" i="1"/>
  <c r="D13" i="1"/>
  <c r="H13" i="1"/>
  <c r="AD14" i="1"/>
  <c r="AC21" i="1"/>
  <c r="AE22" i="1"/>
  <c r="C13" i="1"/>
  <c r="A14" i="1"/>
  <c r="K13" i="1" l="1"/>
  <c r="L13" i="1"/>
  <c r="J13" i="1"/>
  <c r="V17" i="1"/>
  <c r="Y17" i="1" s="1"/>
  <c r="N18" i="1"/>
  <c r="P46" i="1"/>
  <c r="D14" i="1"/>
  <c r="H14" i="1"/>
  <c r="AB15" i="1"/>
  <c r="AD15" i="1"/>
  <c r="AC22" i="1"/>
  <c r="AE23" i="1"/>
  <c r="C14" i="1"/>
  <c r="A15" i="1"/>
  <c r="K14" i="1" l="1"/>
  <c r="L14" i="1"/>
  <c r="J14" i="1"/>
  <c r="V18" i="1"/>
  <c r="Y18" i="1" s="1"/>
  <c r="W17" i="1"/>
  <c r="W18" i="1" s="1"/>
  <c r="N19" i="1"/>
  <c r="P45" i="1"/>
  <c r="AD16" i="1"/>
  <c r="AB16" i="1"/>
  <c r="D15" i="1"/>
  <c r="H15" i="1"/>
  <c r="AC23" i="1"/>
  <c r="AE24" i="1"/>
  <c r="C15" i="1"/>
  <c r="A16" i="1"/>
  <c r="K15" i="1" l="1"/>
  <c r="L15" i="1"/>
  <c r="J15" i="1"/>
  <c r="V19" i="1"/>
  <c r="Y19" i="1" s="1"/>
  <c r="N20" i="1"/>
  <c r="P44" i="1"/>
  <c r="D16" i="1"/>
  <c r="H16" i="1"/>
  <c r="AB17" i="1"/>
  <c r="AD17" i="1"/>
  <c r="AC24" i="1"/>
  <c r="AE25" i="1"/>
  <c r="C16" i="1"/>
  <c r="A17" i="1"/>
  <c r="L16" i="1" l="1"/>
  <c r="J16" i="1"/>
  <c r="K16" i="1"/>
  <c r="V20" i="1"/>
  <c r="Y20" i="1" s="1"/>
  <c r="W19" i="1"/>
  <c r="W20" i="1" s="1"/>
  <c r="N21" i="1"/>
  <c r="P43" i="1"/>
  <c r="AD18" i="1"/>
  <c r="AB18" i="1"/>
  <c r="D17" i="1"/>
  <c r="H17" i="1"/>
  <c r="AC25" i="1"/>
  <c r="AE26" i="1"/>
  <c r="C17" i="1"/>
  <c r="A18" i="1"/>
  <c r="L17" i="1" l="1"/>
  <c r="J17" i="1"/>
  <c r="K17" i="1"/>
  <c r="V21" i="1"/>
  <c r="W21" i="1" s="1"/>
  <c r="N22" i="1"/>
  <c r="P42" i="1"/>
  <c r="D18" i="1"/>
  <c r="H18" i="1"/>
  <c r="AB19" i="1"/>
  <c r="AD19" i="1"/>
  <c r="AC26" i="1"/>
  <c r="AE27" i="1"/>
  <c r="C18" i="1"/>
  <c r="A19" i="1"/>
  <c r="Y21" i="1" l="1"/>
  <c r="V22" i="1"/>
  <c r="W22" i="1" s="1"/>
  <c r="L18" i="1"/>
  <c r="J18" i="1"/>
  <c r="K18" i="1"/>
  <c r="N23" i="1"/>
  <c r="P41" i="1"/>
  <c r="AD20" i="1"/>
  <c r="AB20" i="1"/>
  <c r="D19" i="1"/>
  <c r="H19" i="1"/>
  <c r="AC27" i="1"/>
  <c r="AE28" i="1"/>
  <c r="C19" i="1"/>
  <c r="A20" i="1"/>
  <c r="Y22" i="1" l="1"/>
  <c r="K19" i="1"/>
  <c r="L19" i="1"/>
  <c r="J19" i="1"/>
  <c r="V23" i="1"/>
  <c r="W23" i="1"/>
  <c r="N24" i="1"/>
  <c r="P40" i="1"/>
  <c r="D20" i="1"/>
  <c r="H20" i="1"/>
  <c r="AB21" i="1"/>
  <c r="AD21" i="1"/>
  <c r="AC28" i="1"/>
  <c r="AE29" i="1"/>
  <c r="C20" i="1"/>
  <c r="A21" i="1"/>
  <c r="Y23" i="1" l="1"/>
  <c r="V24" i="1"/>
  <c r="K20" i="1"/>
  <c r="L20" i="1"/>
  <c r="J20" i="1"/>
  <c r="N25" i="1"/>
  <c r="P39" i="1"/>
  <c r="AD22" i="1"/>
  <c r="AB22" i="1"/>
  <c r="D21" i="1"/>
  <c r="H21" i="1"/>
  <c r="AC29" i="1"/>
  <c r="AE30" i="1"/>
  <c r="C21" i="1"/>
  <c r="A22" i="1"/>
  <c r="Y24" i="1" l="1"/>
  <c r="K21" i="1"/>
  <c r="L21" i="1"/>
  <c r="J21" i="1"/>
  <c r="V25" i="1"/>
  <c r="W24" i="1"/>
  <c r="W25" i="1" s="1"/>
  <c r="N26" i="1"/>
  <c r="P38" i="1"/>
  <c r="D22" i="1"/>
  <c r="H22" i="1"/>
  <c r="AB23" i="1"/>
  <c r="AD23" i="1"/>
  <c r="AC30" i="1"/>
  <c r="AE31" i="1"/>
  <c r="C22" i="1"/>
  <c r="A23" i="1"/>
  <c r="Y25" i="1" l="1"/>
  <c r="K22" i="1"/>
  <c r="L22" i="1"/>
  <c r="J22" i="1"/>
  <c r="V26" i="1"/>
  <c r="N27" i="1"/>
  <c r="P37" i="1"/>
  <c r="AB24" i="1"/>
  <c r="D23" i="1"/>
  <c r="H23" i="1"/>
  <c r="AD24" i="1"/>
  <c r="AC31" i="1"/>
  <c r="AE32" i="1"/>
  <c r="C23" i="1"/>
  <c r="A24" i="1"/>
  <c r="Y26" i="1" l="1"/>
  <c r="V27" i="1"/>
  <c r="K23" i="1"/>
  <c r="L23" i="1"/>
  <c r="J23" i="1"/>
  <c r="W26" i="1"/>
  <c r="N28" i="1"/>
  <c r="P36" i="1"/>
  <c r="D24" i="1"/>
  <c r="H24" i="1"/>
  <c r="AD25" i="1"/>
  <c r="AB25" i="1"/>
  <c r="AC32" i="1"/>
  <c r="AE33" i="1"/>
  <c r="C24" i="1"/>
  <c r="A25" i="1"/>
  <c r="Y27" i="1" l="1"/>
  <c r="W27" i="1"/>
  <c r="L24" i="1"/>
  <c r="J24" i="1"/>
  <c r="K24" i="1"/>
  <c r="V28" i="1"/>
  <c r="Y28" i="1" s="1"/>
  <c r="N29" i="1"/>
  <c r="P35" i="1"/>
  <c r="AD26" i="1"/>
  <c r="AB26" i="1"/>
  <c r="D25" i="1"/>
  <c r="H25" i="1"/>
  <c r="AC33" i="1"/>
  <c r="AE34" i="1"/>
  <c r="C25" i="1"/>
  <c r="A26" i="1"/>
  <c r="W28" i="1" l="1"/>
  <c r="L25" i="1"/>
  <c r="J25" i="1"/>
  <c r="K25" i="1"/>
  <c r="V29" i="1"/>
  <c r="Y29" i="1" s="1"/>
  <c r="N30" i="1"/>
  <c r="P34" i="1"/>
  <c r="D26" i="1"/>
  <c r="H26" i="1"/>
  <c r="AB27" i="1"/>
  <c r="AD27" i="1"/>
  <c r="AC34" i="1"/>
  <c r="AE35" i="1"/>
  <c r="C26" i="1"/>
  <c r="A27" i="1"/>
  <c r="V30" i="1" l="1"/>
  <c r="Y30" i="1" s="1"/>
  <c r="L26" i="1"/>
  <c r="J26" i="1"/>
  <c r="K26" i="1"/>
  <c r="W29" i="1"/>
  <c r="W30" i="1" s="1"/>
  <c r="N31" i="1"/>
  <c r="P33" i="1"/>
  <c r="AB28" i="1"/>
  <c r="D27" i="1"/>
  <c r="H27" i="1"/>
  <c r="AD28" i="1"/>
  <c r="AC35" i="1"/>
  <c r="AE36" i="1"/>
  <c r="C27" i="1"/>
  <c r="A28" i="1"/>
  <c r="K27" i="1" l="1"/>
  <c r="L27" i="1"/>
  <c r="J27" i="1"/>
  <c r="V31" i="1"/>
  <c r="W31" i="1" s="1"/>
  <c r="N32" i="1"/>
  <c r="P32" i="1"/>
  <c r="AD29" i="1"/>
  <c r="D28" i="1"/>
  <c r="H28" i="1"/>
  <c r="AB29" i="1"/>
  <c r="AC36" i="1"/>
  <c r="AE37" i="1"/>
  <c r="C28" i="1"/>
  <c r="A29" i="1"/>
  <c r="Y31" i="1" l="1"/>
  <c r="V32" i="1"/>
  <c r="K28" i="1"/>
  <c r="L28" i="1"/>
  <c r="J28" i="1"/>
  <c r="N33" i="1"/>
  <c r="O32" i="1"/>
  <c r="P31" i="1"/>
  <c r="O31" i="1" s="1"/>
  <c r="Q32" i="1"/>
  <c r="AH32" i="1" s="1"/>
  <c r="AB30" i="1"/>
  <c r="D29" i="1"/>
  <c r="H29" i="1"/>
  <c r="AD30" i="1"/>
  <c r="AC37" i="1"/>
  <c r="AE38" i="1"/>
  <c r="C29" i="1"/>
  <c r="A30" i="1"/>
  <c r="Y32" i="1" l="1"/>
  <c r="R32" i="1"/>
  <c r="S32" i="1" s="1"/>
  <c r="K29" i="1"/>
  <c r="L29" i="1"/>
  <c r="J29" i="1"/>
  <c r="V33" i="1"/>
  <c r="W32" i="1"/>
  <c r="W33" i="1" s="1"/>
  <c r="N34" i="1"/>
  <c r="O33" i="1"/>
  <c r="Q33" i="1"/>
  <c r="AH33" i="1" s="1"/>
  <c r="P30" i="1"/>
  <c r="O30" i="1" s="1"/>
  <c r="Q31" i="1"/>
  <c r="AH31" i="1" s="1"/>
  <c r="D30" i="1"/>
  <c r="H30" i="1"/>
  <c r="AB31" i="1"/>
  <c r="AD31" i="1"/>
  <c r="AC38" i="1"/>
  <c r="AE39" i="1"/>
  <c r="C30" i="1"/>
  <c r="A31" i="1"/>
  <c r="Y33" i="1" l="1"/>
  <c r="R31" i="1"/>
  <c r="S31" i="1" s="1"/>
  <c r="R33" i="1"/>
  <c r="S33" i="1" s="1"/>
  <c r="V34" i="1"/>
  <c r="Y34" i="1" s="1"/>
  <c r="K30" i="1"/>
  <c r="L30" i="1"/>
  <c r="J30" i="1"/>
  <c r="N35" i="1"/>
  <c r="O34" i="1"/>
  <c r="Q34" i="1"/>
  <c r="AH34" i="1" s="1"/>
  <c r="P29" i="1"/>
  <c r="O29" i="1" s="1"/>
  <c r="Q30" i="1"/>
  <c r="AH30" i="1" s="1"/>
  <c r="AB32" i="1"/>
  <c r="D31" i="1"/>
  <c r="H31" i="1"/>
  <c r="AD32" i="1"/>
  <c r="AC39" i="1"/>
  <c r="AE40" i="1"/>
  <c r="C31" i="1"/>
  <c r="A32" i="1"/>
  <c r="R30" i="1" l="1"/>
  <c r="S30" i="1" s="1"/>
  <c r="R34" i="1"/>
  <c r="S34" i="1" s="1"/>
  <c r="K31" i="1"/>
  <c r="L31" i="1"/>
  <c r="J31" i="1"/>
  <c r="V35" i="1"/>
  <c r="Y35" i="1" s="1"/>
  <c r="W34" i="1"/>
  <c r="N36" i="1"/>
  <c r="O35" i="1"/>
  <c r="Q35" i="1"/>
  <c r="AH35" i="1" s="1"/>
  <c r="P28" i="1"/>
  <c r="O28" i="1" s="1"/>
  <c r="Q29" i="1"/>
  <c r="AH29" i="1" s="1"/>
  <c r="D32" i="1"/>
  <c r="H32" i="1"/>
  <c r="AB33" i="1"/>
  <c r="AD33" i="1"/>
  <c r="AC40" i="1"/>
  <c r="AE41" i="1"/>
  <c r="C32" i="1"/>
  <c r="A33" i="1"/>
  <c r="R29" i="1" l="1"/>
  <c r="S29" i="1" s="1"/>
  <c r="R35" i="1"/>
  <c r="S35" i="1" s="1"/>
  <c r="W35" i="1"/>
  <c r="V36" i="1"/>
  <c r="Y36" i="1" s="1"/>
  <c r="L32" i="1"/>
  <c r="J32" i="1"/>
  <c r="K32" i="1"/>
  <c r="N37" i="1"/>
  <c r="O36" i="1"/>
  <c r="Q36" i="1"/>
  <c r="AH36" i="1" s="1"/>
  <c r="P27" i="1"/>
  <c r="O27" i="1" s="1"/>
  <c r="Q28" i="1"/>
  <c r="AH28" i="1" s="1"/>
  <c r="AB34" i="1"/>
  <c r="D33" i="1"/>
  <c r="H33" i="1"/>
  <c r="AD34" i="1"/>
  <c r="AC41" i="1"/>
  <c r="AE42" i="1"/>
  <c r="C33" i="1"/>
  <c r="A34" i="1"/>
  <c r="R28" i="1" l="1"/>
  <c r="S28" i="1" s="1"/>
  <c r="R36" i="1"/>
  <c r="S36" i="1" s="1"/>
  <c r="V37" i="1"/>
  <c r="Y37" i="1" s="1"/>
  <c r="L33" i="1"/>
  <c r="J33" i="1"/>
  <c r="K33" i="1"/>
  <c r="W36" i="1"/>
  <c r="N38" i="1"/>
  <c r="O37" i="1"/>
  <c r="Q37" i="1"/>
  <c r="AH37" i="1" s="1"/>
  <c r="P26" i="1"/>
  <c r="O26" i="1" s="1"/>
  <c r="Q27" i="1"/>
  <c r="AH27" i="1" s="1"/>
  <c r="AD35" i="1"/>
  <c r="D34" i="1"/>
  <c r="H34" i="1"/>
  <c r="AB35" i="1"/>
  <c r="AC42" i="1"/>
  <c r="AE43" i="1"/>
  <c r="C34" i="1"/>
  <c r="A35" i="1"/>
  <c r="R27" i="1" l="1"/>
  <c r="S27" i="1" s="1"/>
  <c r="R37" i="1"/>
  <c r="S37" i="1" s="1"/>
  <c r="W37" i="1"/>
  <c r="L34" i="1"/>
  <c r="J34" i="1"/>
  <c r="K34" i="1"/>
  <c r="V38" i="1"/>
  <c r="Y38" i="1" s="1"/>
  <c r="N39" i="1"/>
  <c r="O38" i="1"/>
  <c r="Q38" i="1"/>
  <c r="AH38" i="1" s="1"/>
  <c r="P25" i="1"/>
  <c r="O25" i="1" s="1"/>
  <c r="Q26" i="1"/>
  <c r="AH26" i="1" s="1"/>
  <c r="AB36" i="1"/>
  <c r="D35" i="1"/>
  <c r="H35" i="1"/>
  <c r="AD36" i="1"/>
  <c r="AC43" i="1"/>
  <c r="AE44" i="1"/>
  <c r="C35" i="1"/>
  <c r="A36" i="1"/>
  <c r="R26" i="1" l="1"/>
  <c r="S26" i="1" s="1"/>
  <c r="R38" i="1"/>
  <c r="S38" i="1" s="1"/>
  <c r="V39" i="1"/>
  <c r="Y39" i="1" s="1"/>
  <c r="K35" i="1"/>
  <c r="L35" i="1"/>
  <c r="J35" i="1"/>
  <c r="W38" i="1"/>
  <c r="N40" i="1"/>
  <c r="O39" i="1"/>
  <c r="Q39" i="1"/>
  <c r="AH39" i="1" s="1"/>
  <c r="P24" i="1"/>
  <c r="O24" i="1" s="1"/>
  <c r="Q25" i="1"/>
  <c r="AH25" i="1" s="1"/>
  <c r="AD37" i="1"/>
  <c r="D36" i="1"/>
  <c r="H36" i="1"/>
  <c r="AB37" i="1"/>
  <c r="AC44" i="1"/>
  <c r="AE45" i="1"/>
  <c r="C36" i="1"/>
  <c r="A37" i="1"/>
  <c r="R25" i="1" l="1"/>
  <c r="S25" i="1" s="1"/>
  <c r="R39" i="1"/>
  <c r="S39" i="1" s="1"/>
  <c r="W39" i="1"/>
  <c r="V40" i="1"/>
  <c r="Y40" i="1" s="1"/>
  <c r="K36" i="1"/>
  <c r="L36" i="1"/>
  <c r="J36" i="1"/>
  <c r="N41" i="1"/>
  <c r="O40" i="1"/>
  <c r="Q40" i="1"/>
  <c r="AH40" i="1" s="1"/>
  <c r="P23" i="1"/>
  <c r="O23" i="1" s="1"/>
  <c r="Q24" i="1"/>
  <c r="AH24" i="1" s="1"/>
  <c r="AB38" i="1"/>
  <c r="D37" i="1"/>
  <c r="H37" i="1"/>
  <c r="AD38" i="1"/>
  <c r="AC45" i="1"/>
  <c r="AE46" i="1"/>
  <c r="C37" i="1"/>
  <c r="A38" i="1"/>
  <c r="R24" i="1" l="1"/>
  <c r="S24" i="1" s="1"/>
  <c r="R40" i="1"/>
  <c r="S40" i="1" s="1"/>
  <c r="K37" i="1"/>
  <c r="L37" i="1"/>
  <c r="J37" i="1"/>
  <c r="V41" i="1"/>
  <c r="Y41" i="1" s="1"/>
  <c r="W40" i="1"/>
  <c r="W41" i="1" s="1"/>
  <c r="N42" i="1"/>
  <c r="O41" i="1"/>
  <c r="Q41" i="1"/>
  <c r="AH41" i="1" s="1"/>
  <c r="P22" i="1"/>
  <c r="O22" i="1" s="1"/>
  <c r="Q23" i="1"/>
  <c r="AH23" i="1" s="1"/>
  <c r="AD39" i="1"/>
  <c r="D38" i="1"/>
  <c r="H38" i="1"/>
  <c r="AB39" i="1"/>
  <c r="AC46" i="1"/>
  <c r="AE47" i="1"/>
  <c r="C38" i="1"/>
  <c r="A39" i="1"/>
  <c r="R41" i="1" l="1"/>
  <c r="S41" i="1" s="1"/>
  <c r="R23" i="1"/>
  <c r="S23" i="1" s="1"/>
  <c r="V42" i="1"/>
  <c r="W42" i="1" s="1"/>
  <c r="K38" i="1"/>
  <c r="L38" i="1"/>
  <c r="J38" i="1"/>
  <c r="N43" i="1"/>
  <c r="O42" i="1"/>
  <c r="Q42" i="1"/>
  <c r="AH42" i="1" s="1"/>
  <c r="P21" i="1"/>
  <c r="O21" i="1" s="1"/>
  <c r="Q22" i="1"/>
  <c r="AH22" i="1" s="1"/>
  <c r="AB40" i="1"/>
  <c r="D39" i="1"/>
  <c r="H39" i="1"/>
  <c r="AD40" i="1"/>
  <c r="AC47" i="1"/>
  <c r="AE48" i="1"/>
  <c r="C39" i="1"/>
  <c r="A40" i="1"/>
  <c r="R22" i="1" l="1"/>
  <c r="S22" i="1" s="1"/>
  <c r="R42" i="1"/>
  <c r="S42" i="1" s="1"/>
  <c r="Y42" i="1"/>
  <c r="K39" i="1"/>
  <c r="L39" i="1"/>
  <c r="J39" i="1"/>
  <c r="V43" i="1"/>
  <c r="N44" i="1"/>
  <c r="O43" i="1"/>
  <c r="Q43" i="1"/>
  <c r="AH43" i="1" s="1"/>
  <c r="P20" i="1"/>
  <c r="O20" i="1" s="1"/>
  <c r="Q21" i="1"/>
  <c r="AH21" i="1" s="1"/>
  <c r="D40" i="1"/>
  <c r="H40" i="1"/>
  <c r="AB41" i="1"/>
  <c r="AD41" i="1"/>
  <c r="AC48" i="1"/>
  <c r="AE49" i="1"/>
  <c r="C40" i="1"/>
  <c r="A41" i="1"/>
  <c r="Y43" i="1" l="1"/>
  <c r="R21" i="1"/>
  <c r="S21" i="1" s="1"/>
  <c r="R43" i="1"/>
  <c r="S43" i="1" s="1"/>
  <c r="V44" i="1"/>
  <c r="Y44" i="1" s="1"/>
  <c r="L40" i="1"/>
  <c r="J40" i="1"/>
  <c r="K40" i="1"/>
  <c r="W43" i="1"/>
  <c r="N45" i="1"/>
  <c r="O44" i="1"/>
  <c r="Q44" i="1"/>
  <c r="AH44" i="1" s="1"/>
  <c r="P19" i="1"/>
  <c r="O19" i="1" s="1"/>
  <c r="Q20" i="1"/>
  <c r="AH20" i="1" s="1"/>
  <c r="D41" i="1"/>
  <c r="H41" i="1"/>
  <c r="AB42" i="1"/>
  <c r="AD42" i="1"/>
  <c r="AC49" i="1"/>
  <c r="AE50" i="1"/>
  <c r="C41" i="1"/>
  <c r="A42" i="1"/>
  <c r="R20" i="1" l="1"/>
  <c r="S20" i="1" s="1"/>
  <c r="R44" i="1"/>
  <c r="S44" i="1" s="1"/>
  <c r="W44" i="1"/>
  <c r="L41" i="1"/>
  <c r="J41" i="1"/>
  <c r="K41" i="1"/>
  <c r="V45" i="1"/>
  <c r="Y45" i="1" s="1"/>
  <c r="N46" i="1"/>
  <c r="O45" i="1"/>
  <c r="Q45" i="1"/>
  <c r="AH45" i="1" s="1"/>
  <c r="P18" i="1"/>
  <c r="O18" i="1" s="1"/>
  <c r="Q19" i="1"/>
  <c r="AH19" i="1" s="1"/>
  <c r="AB43" i="1"/>
  <c r="D42" i="1"/>
  <c r="H42" i="1"/>
  <c r="AD43" i="1"/>
  <c r="AC50" i="1"/>
  <c r="AE51" i="1"/>
  <c r="C42" i="1"/>
  <c r="A43" i="1"/>
  <c r="R19" i="1" l="1"/>
  <c r="S19" i="1" s="1"/>
  <c r="R45" i="1"/>
  <c r="S45" i="1" s="1"/>
  <c r="V46" i="1"/>
  <c r="Y46" i="1" s="1"/>
  <c r="L42" i="1"/>
  <c r="J42" i="1"/>
  <c r="K42" i="1"/>
  <c r="W45" i="1"/>
  <c r="N47" i="1"/>
  <c r="O46" i="1"/>
  <c r="Q46" i="1"/>
  <c r="AH46" i="1" s="1"/>
  <c r="P17" i="1"/>
  <c r="O17" i="1" s="1"/>
  <c r="Q18" i="1"/>
  <c r="AH18" i="1" s="1"/>
  <c r="D43" i="1"/>
  <c r="H43" i="1"/>
  <c r="AD44" i="1"/>
  <c r="AB44" i="1"/>
  <c r="AC51" i="1"/>
  <c r="AE52" i="1"/>
  <c r="C43" i="1"/>
  <c r="A44" i="1"/>
  <c r="R18" i="1" l="1"/>
  <c r="S18" i="1" s="1"/>
  <c r="R46" i="1"/>
  <c r="S46" i="1" s="1"/>
  <c r="W46" i="1"/>
  <c r="K43" i="1"/>
  <c r="L43" i="1"/>
  <c r="J43" i="1"/>
  <c r="V47" i="1"/>
  <c r="Y47" i="1" s="1"/>
  <c r="N48" i="1"/>
  <c r="O47" i="1"/>
  <c r="Q47" i="1"/>
  <c r="AH47" i="1" s="1"/>
  <c r="P16" i="1"/>
  <c r="O16" i="1" s="1"/>
  <c r="Q17" i="1"/>
  <c r="AH17" i="1" s="1"/>
  <c r="AD45" i="1"/>
  <c r="D44" i="1"/>
  <c r="H44" i="1"/>
  <c r="AB45" i="1"/>
  <c r="AC52" i="1"/>
  <c r="AE53" i="1"/>
  <c r="C44" i="1"/>
  <c r="A45" i="1"/>
  <c r="R17" i="1" l="1"/>
  <c r="S17" i="1" s="1"/>
  <c r="R47" i="1"/>
  <c r="S47" i="1" s="1"/>
  <c r="V48" i="1"/>
  <c r="Y48" i="1" s="1"/>
  <c r="K44" i="1"/>
  <c r="L44" i="1"/>
  <c r="J44" i="1"/>
  <c r="W47" i="1"/>
  <c r="N49" i="1"/>
  <c r="O48" i="1"/>
  <c r="Q48" i="1"/>
  <c r="AH48" i="1" s="1"/>
  <c r="P15" i="1"/>
  <c r="O15" i="1" s="1"/>
  <c r="Q16" i="1"/>
  <c r="AH16" i="1" s="1"/>
  <c r="AB46" i="1"/>
  <c r="D45" i="1"/>
  <c r="H45" i="1"/>
  <c r="AD46" i="1"/>
  <c r="AC53" i="1"/>
  <c r="AE54" i="1"/>
  <c r="C45" i="1"/>
  <c r="A46" i="1"/>
  <c r="R16" i="1" l="1"/>
  <c r="S16" i="1" s="1"/>
  <c r="R48" i="1"/>
  <c r="S48" i="1" s="1"/>
  <c r="W48" i="1"/>
  <c r="K45" i="1"/>
  <c r="L45" i="1"/>
  <c r="J45" i="1"/>
  <c r="V49" i="1"/>
  <c r="Y49" i="1" s="1"/>
  <c r="N50" i="1"/>
  <c r="O49" i="1"/>
  <c r="Q49" i="1"/>
  <c r="AH49" i="1" s="1"/>
  <c r="P14" i="1"/>
  <c r="O14" i="1" s="1"/>
  <c r="Q15" i="1"/>
  <c r="AH15" i="1" s="1"/>
  <c r="D46" i="1"/>
  <c r="H46" i="1"/>
  <c r="AB47" i="1"/>
  <c r="AD47" i="1"/>
  <c r="AC54" i="1"/>
  <c r="AE55" i="1"/>
  <c r="C46" i="1"/>
  <c r="A47" i="1"/>
  <c r="R15" i="1" l="1"/>
  <c r="S15" i="1" s="1"/>
  <c r="R49" i="1"/>
  <c r="S49" i="1" s="1"/>
  <c r="V50" i="1"/>
  <c r="Y50" i="1" s="1"/>
  <c r="K46" i="1"/>
  <c r="L46" i="1"/>
  <c r="J46" i="1"/>
  <c r="W49" i="1"/>
  <c r="N51" i="1"/>
  <c r="O50" i="1"/>
  <c r="Q50" i="1"/>
  <c r="AH50" i="1" s="1"/>
  <c r="P13" i="1"/>
  <c r="O13" i="1" s="1"/>
  <c r="Q14" i="1"/>
  <c r="AH14" i="1" s="1"/>
  <c r="AD48" i="1"/>
  <c r="D47" i="1"/>
  <c r="H47" i="1"/>
  <c r="AB48" i="1"/>
  <c r="AC55" i="1"/>
  <c r="AE56" i="1"/>
  <c r="C47" i="1"/>
  <c r="A48" i="1"/>
  <c r="R14" i="1" l="1"/>
  <c r="S14" i="1" s="1"/>
  <c r="R50" i="1"/>
  <c r="S50" i="1" s="1"/>
  <c r="W50" i="1"/>
  <c r="K47" i="1"/>
  <c r="L47" i="1"/>
  <c r="J47" i="1"/>
  <c r="V51" i="1"/>
  <c r="Y51" i="1" s="1"/>
  <c r="N52" i="1"/>
  <c r="O51" i="1"/>
  <c r="Q51" i="1"/>
  <c r="AH51" i="1" s="1"/>
  <c r="P12" i="1"/>
  <c r="O12" i="1" s="1"/>
  <c r="Q13" i="1"/>
  <c r="AH13" i="1" s="1"/>
  <c r="AB49" i="1"/>
  <c r="AD49" i="1"/>
  <c r="D48" i="1"/>
  <c r="H48" i="1"/>
  <c r="AC56" i="1"/>
  <c r="AE57" i="1"/>
  <c r="C48" i="1"/>
  <c r="A49" i="1"/>
  <c r="R13" i="1" l="1"/>
  <c r="S13" i="1" s="1"/>
  <c r="R51" i="1"/>
  <c r="S51" i="1" s="1"/>
  <c r="V52" i="1"/>
  <c r="Y52" i="1" s="1"/>
  <c r="L48" i="1"/>
  <c r="J48" i="1"/>
  <c r="K48" i="1"/>
  <c r="W51" i="1"/>
  <c r="W52" i="1" s="1"/>
  <c r="N53" i="1"/>
  <c r="O52" i="1"/>
  <c r="Q52" i="1"/>
  <c r="AH52" i="1" s="1"/>
  <c r="P11" i="1"/>
  <c r="O11" i="1" s="1"/>
  <c r="Q12" i="1"/>
  <c r="AH12" i="1" s="1"/>
  <c r="AD50" i="1"/>
  <c r="D49" i="1"/>
  <c r="H49" i="1"/>
  <c r="AB50" i="1"/>
  <c r="AC57" i="1"/>
  <c r="AE58" i="1"/>
  <c r="C49" i="1"/>
  <c r="A50" i="1"/>
  <c r="R12" i="1" l="1"/>
  <c r="S12" i="1" s="1"/>
  <c r="R52" i="1"/>
  <c r="S52" i="1" s="1"/>
  <c r="L49" i="1"/>
  <c r="J49" i="1"/>
  <c r="K49" i="1"/>
  <c r="V53" i="1"/>
  <c r="Y53" i="1" s="1"/>
  <c r="N54" i="1"/>
  <c r="O53" i="1"/>
  <c r="Q53" i="1"/>
  <c r="AH53" i="1" s="1"/>
  <c r="P10" i="1"/>
  <c r="O10" i="1" s="1"/>
  <c r="Q11" i="1"/>
  <c r="AH11" i="1" s="1"/>
  <c r="AD51" i="1"/>
  <c r="D50" i="1"/>
  <c r="H50" i="1"/>
  <c r="AB51" i="1"/>
  <c r="AC58" i="1"/>
  <c r="AE59" i="1"/>
  <c r="C50" i="1"/>
  <c r="A51" i="1"/>
  <c r="R11" i="1" l="1"/>
  <c r="S11" i="1" s="1"/>
  <c r="R53" i="1"/>
  <c r="S53" i="1" s="1"/>
  <c r="V54" i="1"/>
  <c r="Y54" i="1" s="1"/>
  <c r="L50" i="1"/>
  <c r="J50" i="1"/>
  <c r="K50" i="1"/>
  <c r="W53" i="1"/>
  <c r="W54" i="1" s="1"/>
  <c r="N55" i="1"/>
  <c r="O54" i="1"/>
  <c r="Q54" i="1"/>
  <c r="AH54" i="1" s="1"/>
  <c r="P9" i="1"/>
  <c r="O9" i="1" s="1"/>
  <c r="Q10" i="1"/>
  <c r="AH10" i="1" s="1"/>
  <c r="AD52" i="1"/>
  <c r="D51" i="1"/>
  <c r="H51" i="1"/>
  <c r="AB52" i="1"/>
  <c r="AC59" i="1"/>
  <c r="AE60" i="1"/>
  <c r="C51" i="1"/>
  <c r="A52" i="1"/>
  <c r="R10" i="1" l="1"/>
  <c r="S10" i="1" s="1"/>
  <c r="R54" i="1"/>
  <c r="S54" i="1" s="1"/>
  <c r="K51" i="1"/>
  <c r="L51" i="1"/>
  <c r="J51" i="1"/>
  <c r="V55" i="1"/>
  <c r="Y55" i="1" s="1"/>
  <c r="N56" i="1"/>
  <c r="O55" i="1"/>
  <c r="Q55" i="1"/>
  <c r="AH55" i="1" s="1"/>
  <c r="P8" i="1"/>
  <c r="O8" i="1" s="1"/>
  <c r="Q9" i="1"/>
  <c r="AH9" i="1" s="1"/>
  <c r="AB53" i="1"/>
  <c r="AD53" i="1"/>
  <c r="D52" i="1"/>
  <c r="H52" i="1"/>
  <c r="AC60" i="1"/>
  <c r="AE61" i="1"/>
  <c r="C52" i="1"/>
  <c r="A53" i="1"/>
  <c r="R9" i="1" l="1"/>
  <c r="S9" i="1" s="1"/>
  <c r="R55" i="1"/>
  <c r="S55" i="1" s="1"/>
  <c r="V56" i="1"/>
  <c r="Y56" i="1" s="1"/>
  <c r="K52" i="1"/>
  <c r="L52" i="1"/>
  <c r="J52" i="1"/>
  <c r="W55" i="1"/>
  <c r="N57" i="1"/>
  <c r="O56" i="1"/>
  <c r="Q56" i="1"/>
  <c r="AH56" i="1" s="1"/>
  <c r="P7" i="1"/>
  <c r="O7" i="1" s="1"/>
  <c r="Q8" i="1"/>
  <c r="AH8" i="1" s="1"/>
  <c r="AD54" i="1"/>
  <c r="D53" i="1"/>
  <c r="H53" i="1"/>
  <c r="AB54" i="1"/>
  <c r="AC61" i="1"/>
  <c r="AE62" i="1"/>
  <c r="C53" i="1"/>
  <c r="A54" i="1"/>
  <c r="R8" i="1" l="1"/>
  <c r="S8" i="1" s="1"/>
  <c r="R56" i="1"/>
  <c r="S56" i="1" s="1"/>
  <c r="W56" i="1"/>
  <c r="K53" i="1"/>
  <c r="L53" i="1"/>
  <c r="J53" i="1"/>
  <c r="V57" i="1"/>
  <c r="Y57" i="1" s="1"/>
  <c r="N58" i="1"/>
  <c r="O57" i="1"/>
  <c r="Q57" i="1"/>
  <c r="AH57" i="1" s="1"/>
  <c r="P6" i="1"/>
  <c r="O6" i="1" s="1"/>
  <c r="Q7" i="1"/>
  <c r="AH7" i="1" s="1"/>
  <c r="AB55" i="1"/>
  <c r="D54" i="1"/>
  <c r="H54" i="1"/>
  <c r="AD55" i="1"/>
  <c r="AC62" i="1"/>
  <c r="AE63" i="1"/>
  <c r="C54" i="1"/>
  <c r="A55" i="1"/>
  <c r="R7" i="1" l="1"/>
  <c r="S7" i="1" s="1"/>
  <c r="R57" i="1"/>
  <c r="S57" i="1" s="1"/>
  <c r="V58" i="1"/>
  <c r="Y58" i="1" s="1"/>
  <c r="K54" i="1"/>
  <c r="L54" i="1"/>
  <c r="J54" i="1"/>
  <c r="W57" i="1"/>
  <c r="N59" i="1"/>
  <c r="O58" i="1"/>
  <c r="Q58" i="1"/>
  <c r="AH58" i="1" s="1"/>
  <c r="P5" i="1"/>
  <c r="O5" i="1" s="1"/>
  <c r="Q6" i="1"/>
  <c r="AH6" i="1" s="1"/>
  <c r="AD56" i="1"/>
  <c r="D55" i="1"/>
  <c r="H55" i="1"/>
  <c r="AB56" i="1"/>
  <c r="AC63" i="1"/>
  <c r="AE64" i="1"/>
  <c r="C55" i="1"/>
  <c r="A56" i="1"/>
  <c r="R6" i="1" l="1"/>
  <c r="S6" i="1" s="1"/>
  <c r="R58" i="1"/>
  <c r="S58" i="1" s="1"/>
  <c r="W58" i="1"/>
  <c r="K55" i="1"/>
  <c r="L55" i="1"/>
  <c r="J55" i="1"/>
  <c r="V59" i="1"/>
  <c r="Y59" i="1" s="1"/>
  <c r="N60" i="1"/>
  <c r="O59" i="1"/>
  <c r="Q59" i="1"/>
  <c r="AH59" i="1" s="1"/>
  <c r="P4" i="1"/>
  <c r="O4" i="1" s="1"/>
  <c r="Q5" i="1"/>
  <c r="AH5" i="1" s="1"/>
  <c r="AB57" i="1"/>
  <c r="D56" i="1"/>
  <c r="H56" i="1"/>
  <c r="AD57" i="1"/>
  <c r="AC64" i="1"/>
  <c r="C56" i="1"/>
  <c r="A57" i="1"/>
  <c r="R5" i="1" l="1"/>
  <c r="S5" i="1" s="1"/>
  <c r="R59" i="1"/>
  <c r="S59" i="1" s="1"/>
  <c r="V60" i="1"/>
  <c r="Y60" i="1" s="1"/>
  <c r="W59" i="1"/>
  <c r="W60" i="1" s="1"/>
  <c r="L56" i="1"/>
  <c r="J56" i="1"/>
  <c r="K56" i="1"/>
  <c r="N61" i="1"/>
  <c r="O60" i="1"/>
  <c r="Q60" i="1"/>
  <c r="AH60" i="1" s="1"/>
  <c r="Q4" i="1"/>
  <c r="AH4" i="1" s="1"/>
  <c r="D57" i="1"/>
  <c r="H57" i="1"/>
  <c r="AB58" i="1"/>
  <c r="AD58" i="1"/>
  <c r="C57" i="1"/>
  <c r="A58" i="1"/>
  <c r="R60" i="1" l="1"/>
  <c r="S60" i="1" s="1"/>
  <c r="R4" i="1"/>
  <c r="S4" i="1" s="1"/>
  <c r="L57" i="1"/>
  <c r="J57" i="1"/>
  <c r="K57" i="1"/>
  <c r="V61" i="1"/>
  <c r="W61" i="1" s="1"/>
  <c r="N62" i="1"/>
  <c r="O61" i="1"/>
  <c r="Q61" i="1"/>
  <c r="AH61" i="1" s="1"/>
  <c r="AD59" i="1"/>
  <c r="AB59" i="1"/>
  <c r="D58" i="1"/>
  <c r="H58" i="1"/>
  <c r="C58" i="1"/>
  <c r="A59" i="1"/>
  <c r="R61" i="1" l="1"/>
  <c r="S61" i="1" s="1"/>
  <c r="Y61" i="1"/>
  <c r="L58" i="1"/>
  <c r="J58" i="1"/>
  <c r="K58" i="1"/>
  <c r="V62" i="1"/>
  <c r="O62" i="1"/>
  <c r="N63" i="1"/>
  <c r="Q62" i="1"/>
  <c r="AH62" i="1" s="1"/>
  <c r="D59" i="1"/>
  <c r="H59" i="1"/>
  <c r="AB60" i="1"/>
  <c r="AD60" i="1"/>
  <c r="C59" i="1"/>
  <c r="A60" i="1"/>
  <c r="Y62" i="1" l="1"/>
  <c r="R62" i="1"/>
  <c r="S62" i="1" s="1"/>
  <c r="V63" i="1"/>
  <c r="K59" i="1"/>
  <c r="L59" i="1"/>
  <c r="J59" i="1"/>
  <c r="W62" i="1"/>
  <c r="Q63" i="1"/>
  <c r="AH63" i="1" s="1"/>
  <c r="O63" i="1"/>
  <c r="AB61" i="1"/>
  <c r="D60" i="1"/>
  <c r="H60" i="1"/>
  <c r="AD61" i="1"/>
  <c r="C60" i="1"/>
  <c r="A61" i="1"/>
  <c r="Y63" i="1" l="1"/>
  <c r="R63" i="1"/>
  <c r="S63" i="1" s="1"/>
  <c r="S66" i="1" s="1"/>
  <c r="S68" i="1" s="1"/>
  <c r="W63" i="1"/>
  <c r="K60" i="1"/>
  <c r="L60" i="1"/>
  <c r="J60" i="1"/>
  <c r="V64" i="1"/>
  <c r="D61" i="1"/>
  <c r="H61" i="1"/>
  <c r="AD62" i="1"/>
  <c r="AB62" i="1"/>
  <c r="C61" i="1"/>
  <c r="A62" i="1"/>
  <c r="Y64" i="1" l="1"/>
  <c r="AD64" i="1" s="1"/>
  <c r="K61" i="1"/>
  <c r="L61" i="1"/>
  <c r="J61" i="1"/>
  <c r="W64" i="1"/>
  <c r="AB64" i="1" s="1"/>
  <c r="AB63" i="1"/>
  <c r="AD63" i="1"/>
  <c r="D62" i="1"/>
  <c r="H62" i="1"/>
  <c r="C62" i="1"/>
  <c r="A63" i="1"/>
  <c r="K62" i="1" l="1"/>
  <c r="L62" i="1"/>
  <c r="J62" i="1"/>
  <c r="D63" i="1"/>
  <c r="H63" i="1"/>
  <c r="C63" i="1"/>
  <c r="A64" i="1"/>
  <c r="K63" i="1" l="1"/>
  <c r="K65" i="1" s="1"/>
  <c r="L63" i="1"/>
  <c r="L65" i="1" s="1"/>
  <c r="J63" i="1"/>
  <c r="J65" i="1" s="1"/>
  <c r="D64" i="1"/>
  <c r="H64" i="1"/>
  <c r="C64" i="1"/>
</calcChain>
</file>

<file path=xl/sharedStrings.xml><?xml version="1.0" encoding="utf-8"?>
<sst xmlns="http://schemas.openxmlformats.org/spreadsheetml/2006/main" count="59" uniqueCount="56">
  <si>
    <t xml:space="preserve"> N(t) atm. CO2 @ Mauna Loa in ppm</t>
  </si>
  <si>
    <t>Calendar Year</t>
  </si>
  <si>
    <t>CO2 emissie from CDIAC database in MTC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</si>
  <si>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(t) from  Excel trendlijn in ppm </t>
    </r>
  </si>
  <si>
    <t>N(0) =</t>
  </si>
  <si>
    <t>T =</t>
  </si>
  <si>
    <t>Immediate ban on all CO2 emissions</t>
  </si>
  <si>
    <r>
      <t>d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(t)/dt from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(t) trendline (column B) in ppm/y</t>
    </r>
  </si>
  <si>
    <t>CO2 fossiel B(t) translated from clmn F into ppm/y</t>
  </si>
  <si>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(t) from curve fitting CDIAC database (clmn G) ppm/y</t>
    </r>
  </si>
  <si>
    <t>N(t) "business as usual"; growth of the emissions @ 1,5 % per year</t>
  </si>
  <si>
    <t>T in years</t>
  </si>
  <si>
    <t>N(0) in ppm</t>
  </si>
  <si>
    <t>C(t) calculated for 1960-2020 based on N(2019)= 411,43 ppm,  B(t) from clmn G, T= K70 years and N(0)=K68 ppm</t>
  </si>
  <si>
    <t>C(t) calculated for 1960-2020 based on N(1959)= 315,97 ppm,  B(t) from clmn G, T= K70 years and N(0)=K68 ppm</t>
  </si>
  <si>
    <t>(C(t) - N(t))**2</t>
  </si>
  <si>
    <t>C(t) up minus C(t) down in ppm</t>
  </si>
  <si>
    <t>ppm</t>
  </si>
  <si>
    <t>years</t>
  </si>
  <si>
    <t>Future years</t>
  </si>
  <si>
    <t>N(0)=280 ppm</t>
  </si>
  <si>
    <t>N(0)=287 ppm</t>
  </si>
  <si>
    <t>N(0)=294 ppm</t>
  </si>
  <si>
    <t>YEAR</t>
  </si>
  <si>
    <t>C averaged, i.e clmn (K+O)/2</t>
  </si>
  <si>
    <t>N(t) with an annual reduction of 1.5% on fossil fuel emissions</t>
  </si>
  <si>
    <t>average T in years from polynomials</t>
  </si>
  <si>
    <t>N(t) from the Mauna Loa database @ https://www.esrl.noaa.gov/gmd/ccgg/trends/data.html</t>
  </si>
  <si>
    <t>B(t) from Global Carbon Budget 2019, Earth Syst. Sci. Data, 2019. https://doi.org/10.5194/essd-11-1783-2019</t>
  </si>
  <si>
    <t>Differces and their squared values between C(t) and N(t) from columns Q and B respectively</t>
  </si>
  <si>
    <r>
      <t xml:space="preserve">Fig. 4a      </t>
    </r>
    <r>
      <rPr>
        <i/>
        <sz val="12"/>
        <color theme="1"/>
        <rFont val="Calibri"/>
        <family val="2"/>
        <scheme val="minor"/>
      </rPr>
      <t>Least Mean Square results expressed as the Standard Deviation between the measured N(t) and the "up &amp; down averaged" concentration C(t) as modelled for 1960-2020  in ppm</t>
    </r>
  </si>
  <si>
    <t xml:space="preserve"> </t>
  </si>
  <si>
    <r>
      <t>Up &amp; Down Reconstructed values for the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concentration for the period 1960-2020 in columns N and P; differce and average in column O and Q respectively</t>
    </r>
  </si>
  <si>
    <r>
      <rPr>
        <vertAlign val="superscript"/>
        <sz val="16"/>
        <color theme="1"/>
        <rFont val="Calibri"/>
        <family val="2"/>
        <scheme val="minor"/>
      </rPr>
      <t>o</t>
    </r>
    <r>
      <rPr>
        <sz val="16"/>
        <color theme="1"/>
        <rFont val="Calibri"/>
        <family val="2"/>
        <scheme val="minor"/>
      </rPr>
      <t>C/2x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concentration</t>
    </r>
  </si>
  <si>
    <t>INPUT data for the calculated "future"projections in column W, X, Y, Z &amp; AB, AC, AD, AE. OUTPUT data all graphically represented in fig. 5</t>
  </si>
  <si>
    <r>
      <t xml:space="preserve">Fig. 4b </t>
    </r>
    <r>
      <rPr>
        <i/>
        <sz val="12"/>
        <color theme="1"/>
        <rFont val="Calibri"/>
        <family val="2"/>
        <scheme val="minor"/>
      </rPr>
      <t xml:space="preserve">     Forecasted atmospheric CO</t>
    </r>
    <r>
      <rPr>
        <i/>
        <vertAlign val="subscript"/>
        <sz val="12"/>
        <color theme="1"/>
        <rFont val="Calibri"/>
        <family val="2"/>
        <scheme val="minor"/>
      </rPr>
      <t>2</t>
    </r>
    <r>
      <rPr>
        <i/>
        <sz val="12"/>
        <color theme="1"/>
        <rFont val="Calibri"/>
        <family val="2"/>
        <scheme val="minor"/>
      </rPr>
      <t xml:space="preserve"> concentration in ppm for the year 2080  in case of a scenario with 1.5% annual growth in fossile emissions, for the same 3x3 matrix of T and N(0) values as used in fig. 4a </t>
    </r>
  </si>
  <si>
    <r>
      <t xml:space="preserve">AMSQ(T,N(0))= </t>
    </r>
    <r>
      <rPr>
        <b/>
        <sz val="12"/>
        <color theme="1"/>
        <rFont val="Calibri"/>
        <family val="2"/>
      </rPr>
      <t>SUM</t>
    </r>
    <r>
      <rPr>
        <b/>
        <i/>
        <sz val="12"/>
        <color theme="1"/>
        <rFont val="Calibri"/>
        <family val="2"/>
        <scheme val="minor"/>
      </rPr>
      <t xml:space="preserve"> ((C(t)-N(t))**2) =</t>
    </r>
  </si>
  <si>
    <r>
      <t xml:space="preserve">standard deviation </t>
    </r>
    <r>
      <rPr>
        <b/>
        <sz val="12"/>
        <color theme="1"/>
        <rFont val="Calibri"/>
        <family val="2"/>
      </rPr>
      <t>σ</t>
    </r>
    <r>
      <rPr>
        <b/>
        <i/>
        <sz val="12"/>
        <color theme="1"/>
        <rFont val="Calibri"/>
        <family val="2"/>
        <scheme val="minor"/>
      </rPr>
      <t>= SQRT (AMSQ(T,N(0))*60/59)=</t>
    </r>
  </si>
  <si>
    <t>N(t) with B(t) is constant @ 5 ppm/y; MAX will be reached @ 555 ppm</t>
  </si>
  <si>
    <r>
      <t>ΔT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@ Immediate ban on all CO2 emissions</t>
    </r>
  </si>
  <si>
    <r>
      <t>ΔT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with B(t) is constant @ 5 ppm/y</t>
    </r>
  </si>
  <si>
    <r>
      <t>ΔT</t>
    </r>
    <r>
      <rPr>
        <vertAlign val="subscript"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>for "business as usual"; growth of the emissions @ 1,5 % per year</t>
    </r>
  </si>
  <si>
    <r>
      <t>ΔT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for a fossil emission reduction realization of 1,5 % per year</t>
    </r>
  </si>
  <si>
    <r>
      <t>Airborne fraction of fossil emission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that stays in the atmosphere             (see fig. 6)</t>
    </r>
  </si>
  <si>
    <t>fraction measured from (N(t)-N(t-1))/B(t), i.e. using columns B and G</t>
  </si>
  <si>
    <t>fraction calculated from 1 - (C(t)-N(0))/(T*B(t)), i.e. using columns Q and G</t>
  </si>
  <si>
    <r>
      <t xml:space="preserve">according to eq. (1) (see text)               </t>
    </r>
    <r>
      <rPr>
        <b/>
        <i/>
        <sz val="12"/>
        <color theme="1"/>
        <rFont val="Calibri"/>
        <family val="2"/>
        <scheme val="minor"/>
      </rPr>
      <t xml:space="preserve">  </t>
    </r>
    <r>
      <rPr>
        <b/>
        <i/>
        <sz val="14"/>
        <color theme="1"/>
        <rFont val="Calibri"/>
        <family val="2"/>
        <scheme val="minor"/>
      </rPr>
      <t xml:space="preserve"> T</t>
    </r>
    <r>
      <rPr>
        <b/>
        <sz val="14"/>
        <color theme="1"/>
        <rFont val="Calibri"/>
        <family val="2"/>
        <scheme val="minor"/>
      </rPr>
      <t xml:space="preserve"> = {</t>
    </r>
    <r>
      <rPr>
        <b/>
        <i/>
        <sz val="14"/>
        <color theme="1"/>
        <rFont val="Calibri"/>
        <family val="2"/>
        <scheme val="minor"/>
      </rPr>
      <t>N</t>
    </r>
    <r>
      <rPr>
        <b/>
        <sz val="14"/>
        <color theme="1"/>
        <rFont val="Calibri"/>
        <family val="2"/>
        <scheme val="minor"/>
      </rPr>
      <t>(t)-N(0)}/{</t>
    </r>
    <r>
      <rPr>
        <b/>
        <i/>
        <sz val="14"/>
        <color theme="1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>(t)-d</t>
    </r>
    <r>
      <rPr>
        <b/>
        <i/>
        <sz val="14"/>
        <color theme="1"/>
        <rFont val="Calibri"/>
        <family val="2"/>
        <scheme val="minor"/>
      </rPr>
      <t>N</t>
    </r>
    <r>
      <rPr>
        <b/>
        <sz val="14"/>
        <color theme="1"/>
        <rFont val="Calibri"/>
        <family val="2"/>
        <scheme val="minor"/>
      </rPr>
      <t>(t)/dt}</t>
    </r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</si>
  <si>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history calculated w.r.t. 2020 with TCR=2 for use in fig. 5                    </t>
    </r>
    <r>
      <rPr>
        <b/>
        <sz val="11"/>
        <color theme="1"/>
        <rFont val="Calibri"/>
        <family val="2"/>
        <scheme val="minor"/>
      </rPr>
      <t xml:space="preserve">  Note: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REFERS to years in column A</t>
    </r>
  </si>
  <si>
    <t>TCR =</t>
  </si>
  <si>
    <r>
      <t xml:space="preserve">Values for N(0), T and TCR can be adapted and all columns and figures will be updated automatically;          standard cq. "best" values are 287 ppm, 53.5 years and 2.0 </t>
    </r>
    <r>
      <rPr>
        <vertAlign val="superscript"/>
        <sz val="18"/>
        <color theme="1"/>
        <rFont val="Calibri"/>
        <family val="2"/>
        <scheme val="minor"/>
      </rPr>
      <t>o</t>
    </r>
    <r>
      <rPr>
        <sz val="18"/>
        <color theme="1"/>
        <rFont val="Calibri"/>
        <family val="2"/>
        <scheme val="minor"/>
      </rPr>
      <t>C/2x CO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respectively</t>
    </r>
  </si>
  <si>
    <r>
      <t>INPUT Mauna Loa data Annual atmosferic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concentrations     (see fig.2)                                           </t>
    </r>
    <r>
      <rPr>
        <i/>
        <sz val="16"/>
        <color theme="1"/>
        <rFont val="Calibri"/>
        <family val="2"/>
        <scheme val="minor"/>
      </rPr>
      <t xml:space="preserve"> ITALICS</t>
    </r>
    <r>
      <rPr>
        <sz val="16"/>
        <color theme="1"/>
        <rFont val="Calibri"/>
        <family val="2"/>
        <scheme val="minor"/>
      </rPr>
      <t xml:space="preserve"> is used to indicate curve-fitted values e.g. columns C and D</t>
    </r>
  </si>
  <si>
    <r>
      <t xml:space="preserve">INPUT Fossil Fuel Emissions             (see fig.2)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 xml:space="preserve">  ITALICS</t>
    </r>
    <r>
      <rPr>
        <sz val="16"/>
        <color theme="1"/>
        <rFont val="Calibri"/>
        <family val="2"/>
        <scheme val="minor"/>
      </rPr>
      <t xml:space="preserve"> is used to indicate curve-fitted values e.g. column H</t>
    </r>
  </si>
  <si>
    <t>OUTPUT Decay Time T in years, based upon the curve-fitted values in columns C,D and H (see fig.3)</t>
  </si>
  <si>
    <t>C(t) - N(t) in ppm   see fig. 5</t>
  </si>
  <si>
    <r>
      <t>Projected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concentrations using the optimum values for N(0) and T for the period 2020-2080    (see fig. 7)</t>
    </r>
  </si>
  <si>
    <r>
      <t xml:space="preserve">Projected Temperatuur increase based upon a TCR=2 </t>
    </r>
    <r>
      <rPr>
        <vertAlign val="superscript"/>
        <sz val="16"/>
        <color theme="1"/>
        <rFont val="Calibri"/>
        <family val="2"/>
        <scheme val="minor"/>
      </rPr>
      <t>o</t>
    </r>
    <r>
      <rPr>
        <sz val="16"/>
        <color theme="1"/>
        <rFont val="Calibri"/>
        <family val="2"/>
        <scheme val="minor"/>
      </rPr>
      <t>C/2xCO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, using the corresponding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concentrations as calculated in columns W, X, Y and Z respectively (see fig.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</si>
</sst>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9"/>
      <color rgb="FF59595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2"/>
      <color rgb="FF595959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94">
    <xf numFmtId="0" fontId="0" fillId="0" borderId="0" xfId="0"/>
    <xf numFmtId="49" fontId="0" fillId="0" borderId="0" xfId="0" applyNumberFormat="1" applyAlignment="1">
      <alignment horizontal="left" vertical="top" wrapText="1" indent="1"/>
    </xf>
    <xf numFmtId="0" fontId="0" fillId="0" borderId="0" xfId="0" applyFill="1"/>
    <xf numFmtId="2" fontId="0" fillId="0" borderId="0" xfId="0" applyNumberFormat="1" applyFill="1"/>
    <xf numFmtId="2" fontId="0" fillId="0" borderId="0" xfId="0" applyNumberFormat="1" applyAlignment="1">
      <alignment horizontal="left" vertical="top" wrapText="1" indent="1"/>
    </xf>
    <xf numFmtId="2" fontId="0" fillId="0" borderId="0" xfId="0" applyNumberFormat="1" applyFill="1" applyAlignment="1">
      <alignment horizontal="left" vertical="top" wrapText="1" indent="1"/>
    </xf>
    <xf numFmtId="1" fontId="0" fillId="0" borderId="0" xfId="0" applyNumberFormat="1"/>
    <xf numFmtId="2" fontId="2" fillId="0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5" borderId="0" xfId="0" applyNumberFormat="1" applyFill="1" applyAlignment="1">
      <alignment horizontal="left" vertical="top" wrapText="1" indent="1"/>
    </xf>
    <xf numFmtId="2" fontId="0" fillId="5" borderId="0" xfId="0" applyNumberFormat="1" applyFill="1"/>
    <xf numFmtId="2" fontId="0" fillId="3" borderId="0" xfId="0" applyNumberFormat="1" applyFill="1" applyAlignment="1">
      <alignment horizontal="right" vertical="top" wrapText="1"/>
    </xf>
    <xf numFmtId="2" fontId="0" fillId="3" borderId="0" xfId="0" applyNumberFormat="1" applyFill="1" applyAlignment="1">
      <alignment horizontal="right"/>
    </xf>
    <xf numFmtId="2" fontId="0" fillId="6" borderId="0" xfId="0" applyNumberFormat="1" applyFill="1" applyAlignment="1">
      <alignment horizontal="left" vertical="top" wrapText="1" indent="1"/>
    </xf>
    <xf numFmtId="2" fontId="0" fillId="6" borderId="0" xfId="0" applyNumberFormat="1" applyFill="1"/>
    <xf numFmtId="2" fontId="0" fillId="0" borderId="0" xfId="0" applyNumberFormat="1"/>
    <xf numFmtId="164" fontId="0" fillId="4" borderId="0" xfId="0" applyNumberFormat="1" applyFill="1" applyAlignment="1">
      <alignment horizontal="left" vertical="top" wrapText="1" indent="1"/>
    </xf>
    <xf numFmtId="164" fontId="0" fillId="0" borderId="0" xfId="0" applyNumberFormat="1" applyFill="1"/>
    <xf numFmtId="2" fontId="0" fillId="8" borderId="0" xfId="0" applyNumberFormat="1" applyFill="1" applyAlignment="1">
      <alignment horizontal="left" vertical="top" wrapText="1" indent="1"/>
    </xf>
    <xf numFmtId="2" fontId="0" fillId="8" borderId="0" xfId="0" applyNumberFormat="1" applyFill="1"/>
    <xf numFmtId="2" fontId="0" fillId="9" borderId="0" xfId="0" applyNumberFormat="1" applyFill="1" applyAlignment="1">
      <alignment horizontal="right" vertical="top" wrapText="1"/>
    </xf>
    <xf numFmtId="2" fontId="0" fillId="9" borderId="0" xfId="0" applyNumberFormat="1" applyFill="1" applyAlignment="1">
      <alignment horizontal="right"/>
    </xf>
    <xf numFmtId="2" fontId="0" fillId="0" borderId="0" xfId="0" applyNumberFormat="1" applyAlignment="1">
      <alignment vertical="center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0" borderId="0" xfId="0" applyNumberFormat="1" applyAlignment="1">
      <alignment vertical="center"/>
    </xf>
    <xf numFmtId="2" fontId="0" fillId="4" borderId="0" xfId="0" applyNumberFormat="1" applyFill="1"/>
    <xf numFmtId="0" fontId="0" fillId="3" borderId="0" xfId="0" applyFill="1"/>
    <xf numFmtId="1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readingOrder="1"/>
    </xf>
    <xf numFmtId="2" fontId="0" fillId="0" borderId="0" xfId="0" applyNumberFormat="1" applyFill="1" applyAlignment="1"/>
    <xf numFmtId="1" fontId="0" fillId="10" borderId="0" xfId="0" applyNumberFormat="1" applyFill="1" applyAlignment="1">
      <alignment vertical="center"/>
    </xf>
    <xf numFmtId="1" fontId="3" fillId="10" borderId="0" xfId="1" applyNumberFormat="1" applyFont="1" applyFill="1" applyAlignment="1">
      <alignment vertical="center"/>
    </xf>
    <xf numFmtId="1" fontId="7" fillId="10" borderId="0" xfId="1" applyNumberFormat="1" applyFont="1" applyFill="1" applyBorder="1" applyAlignment="1">
      <alignment vertical="center"/>
    </xf>
    <xf numFmtId="1" fontId="6" fillId="10" borderId="0" xfId="1" applyNumberFormat="1" applyFont="1" applyFill="1" applyBorder="1" applyAlignment="1">
      <alignment vertical="center"/>
    </xf>
    <xf numFmtId="1" fontId="0" fillId="7" borderId="0" xfId="0" applyNumberFormat="1" applyFill="1" applyAlignment="1">
      <alignment vertical="center"/>
    </xf>
    <xf numFmtId="2" fontId="11" fillId="3" borderId="0" xfId="0" applyNumberFormat="1" applyFont="1" applyFill="1" applyAlignment="1">
      <alignment horizontal="right"/>
    </xf>
    <xf numFmtId="0" fontId="0" fillId="0" borderId="0" xfId="0" applyNumberFormat="1" applyAlignment="1">
      <alignment vertical="top" wrapText="1"/>
    </xf>
    <xf numFmtId="0" fontId="13" fillId="0" borderId="0" xfId="0" applyFont="1"/>
    <xf numFmtId="0" fontId="15" fillId="0" borderId="0" xfId="0" applyNumberFormat="1" applyFont="1" applyFill="1" applyAlignment="1">
      <alignment horizontal="right"/>
    </xf>
    <xf numFmtId="0" fontId="12" fillId="0" borderId="0" xfId="0" applyFont="1"/>
    <xf numFmtId="2" fontId="10" fillId="0" borderId="0" xfId="0" applyNumberFormat="1" applyFont="1" applyFill="1" applyAlignment="1">
      <alignment horizontal="left"/>
    </xf>
    <xf numFmtId="0" fontId="10" fillId="0" borderId="0" xfId="0" applyFont="1"/>
    <xf numFmtId="1" fontId="10" fillId="0" borderId="0" xfId="0" applyNumberFormat="1" applyFont="1" applyAlignment="1">
      <alignment vertical="center"/>
    </xf>
    <xf numFmtId="1" fontId="0" fillId="0" borderId="0" xfId="0" applyNumberFormat="1" applyFill="1"/>
    <xf numFmtId="1" fontId="10" fillId="0" borderId="0" xfId="0" applyNumberFormat="1" applyFont="1" applyFill="1"/>
    <xf numFmtId="1" fontId="0" fillId="0" borderId="0" xfId="0" applyNumberFormat="1" applyFill="1" applyAlignment="1">
      <alignment horizontal="center"/>
    </xf>
    <xf numFmtId="1" fontId="0" fillId="12" borderId="0" xfId="0" applyNumberFormat="1" applyFill="1" applyAlignment="1">
      <alignment horizontal="left" vertical="top" wrapText="1" indent="1"/>
    </xf>
    <xf numFmtId="1" fontId="0" fillId="12" borderId="0" xfId="0" applyNumberFormat="1" applyFill="1"/>
    <xf numFmtId="1" fontId="0" fillId="12" borderId="0" xfId="0" applyNumberFormat="1" applyFont="1" applyFill="1" applyAlignment="1">
      <alignment wrapText="1"/>
    </xf>
    <xf numFmtId="1" fontId="0" fillId="13" borderId="0" xfId="0" applyNumberFormat="1" applyFill="1" applyAlignment="1">
      <alignment horizontal="center" vertical="top" wrapText="1"/>
    </xf>
    <xf numFmtId="1" fontId="0" fillId="13" borderId="0" xfId="0" applyNumberFormat="1" applyFill="1" applyAlignment="1">
      <alignment horizontal="center"/>
    </xf>
    <xf numFmtId="49" fontId="0" fillId="14" borderId="0" xfId="0" applyNumberFormat="1" applyFill="1" applyAlignment="1">
      <alignment horizontal="left" vertical="top" wrapText="1" indent="1"/>
    </xf>
    <xf numFmtId="2" fontId="0" fillId="14" borderId="0" xfId="0" applyNumberFormat="1" applyFill="1"/>
    <xf numFmtId="2" fontId="0" fillId="14" borderId="0" xfId="0" applyNumberFormat="1" applyFill="1" applyAlignment="1">
      <alignment horizontal="left" vertical="top" wrapText="1" indent="1"/>
    </xf>
    <xf numFmtId="0" fontId="0" fillId="14" borderId="0" xfId="0" applyFill="1"/>
    <xf numFmtId="1" fontId="0" fillId="14" borderId="0" xfId="0" applyNumberFormat="1" applyFill="1"/>
    <xf numFmtId="49" fontId="0" fillId="11" borderId="0" xfId="0" applyNumberFormat="1" applyFill="1" applyAlignment="1">
      <alignment horizontal="left" vertical="top" wrapText="1" indent="1"/>
    </xf>
    <xf numFmtId="2" fontId="0" fillId="11" borderId="0" xfId="0" applyNumberFormat="1" applyFill="1"/>
    <xf numFmtId="2" fontId="0" fillId="11" borderId="0" xfId="0" applyNumberFormat="1" applyFill="1" applyAlignment="1">
      <alignment horizontal="left" vertical="top" wrapText="1" indent="1"/>
    </xf>
    <xf numFmtId="0" fontId="0" fillId="11" borderId="0" xfId="0" applyFill="1"/>
    <xf numFmtId="1" fontId="0" fillId="11" borderId="0" xfId="0" applyNumberFormat="1" applyFill="1"/>
    <xf numFmtId="49" fontId="0" fillId="15" borderId="0" xfId="0" applyNumberFormat="1" applyFill="1" applyAlignment="1">
      <alignment horizontal="left" vertical="top" wrapText="1" indent="1"/>
    </xf>
    <xf numFmtId="2" fontId="0" fillId="15" borderId="0" xfId="0" applyNumberFormat="1" applyFill="1"/>
    <xf numFmtId="2" fontId="0" fillId="15" borderId="0" xfId="0" applyNumberFormat="1" applyFill="1" applyAlignment="1">
      <alignment horizontal="left" vertical="top" wrapText="1" indent="1"/>
    </xf>
    <xf numFmtId="0" fontId="0" fillId="15" borderId="0" xfId="0" applyFill="1"/>
    <xf numFmtId="1" fontId="0" fillId="15" borderId="0" xfId="0" applyNumberFormat="1" applyFill="1"/>
    <xf numFmtId="49" fontId="0" fillId="16" borderId="0" xfId="0" applyNumberFormat="1" applyFill="1" applyAlignment="1">
      <alignment horizontal="left" vertical="top" wrapText="1" indent="1"/>
    </xf>
    <xf numFmtId="2" fontId="0" fillId="16" borderId="0" xfId="0" applyNumberFormat="1" applyFill="1" applyAlignment="1">
      <alignment horizontal="left" vertical="top" wrapText="1" indent="1"/>
    </xf>
    <xf numFmtId="2" fontId="0" fillId="16" borderId="0" xfId="0" applyNumberFormat="1" applyFill="1"/>
    <xf numFmtId="0" fontId="0" fillId="16" borderId="0" xfId="0" applyFill="1"/>
    <xf numFmtId="1" fontId="0" fillId="16" borderId="0" xfId="0" applyNumberFormat="1" applyFill="1"/>
    <xf numFmtId="1" fontId="0" fillId="2" borderId="0" xfId="0" applyNumberFormat="1" applyFill="1" applyAlignment="1">
      <alignment horizontal="left" vertical="top" wrapText="1" indent="1"/>
    </xf>
    <xf numFmtId="1" fontId="0" fillId="2" borderId="0" xfId="0" applyNumberFormat="1" applyFill="1" applyAlignment="1">
      <alignment horizontal="right" vertical="top" wrapText="1"/>
    </xf>
    <xf numFmtId="1" fontId="0" fillId="2" borderId="0" xfId="0" applyNumberFormat="1" applyFill="1"/>
    <xf numFmtId="0" fontId="0" fillId="0" borderId="0" xfId="0" applyAlignment="1">
      <alignment horizontal="center"/>
    </xf>
    <xf numFmtId="0" fontId="12" fillId="0" borderId="0" xfId="0" applyFont="1" applyFill="1"/>
    <xf numFmtId="1" fontId="0" fillId="0" borderId="0" xfId="0" applyNumberFormat="1" applyFill="1" applyAlignment="1">
      <alignment horizontal="left" vertical="top" wrapText="1" indent="1"/>
    </xf>
    <xf numFmtId="1" fontId="0" fillId="0" borderId="0" xfId="0" applyNumberFormat="1" applyFont="1" applyFill="1" applyAlignment="1">
      <alignment wrapText="1"/>
    </xf>
    <xf numFmtId="1" fontId="10" fillId="0" borderId="0" xfId="0" applyNumberFormat="1" applyFont="1" applyFill="1" applyAlignment="1">
      <alignment horizontal="right"/>
    </xf>
    <xf numFmtId="1" fontId="0" fillId="12" borderId="0" xfId="0" applyNumberFormat="1" applyFill="1" applyAlignment="1">
      <alignment horizontal="center" vertical="top" wrapText="1"/>
    </xf>
    <xf numFmtId="1" fontId="0" fillId="10" borderId="0" xfId="0" applyNumberFormat="1" applyFill="1" applyAlignment="1">
      <alignment vertical="top" wrapText="1"/>
    </xf>
    <xf numFmtId="1" fontId="0" fillId="2" borderId="0" xfId="0" applyNumberFormat="1" applyFill="1" applyAlignment="1">
      <alignment vertical="top" wrapText="1"/>
    </xf>
    <xf numFmtId="1" fontId="4" fillId="0" borderId="0" xfId="0" applyNumberFormat="1" applyFont="1" applyAlignment="1">
      <alignment vertical="center"/>
    </xf>
    <xf numFmtId="2" fontId="4" fillId="0" borderId="0" xfId="0" applyNumberFormat="1" applyFont="1" applyFill="1" applyAlignment="1">
      <alignment horizontal="right"/>
    </xf>
    <xf numFmtId="2" fontId="18" fillId="0" borderId="0" xfId="0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/>
    <xf numFmtId="1" fontId="4" fillId="0" borderId="0" xfId="0" applyNumberFormat="1" applyFont="1" applyAlignment="1"/>
    <xf numFmtId="164" fontId="4" fillId="0" borderId="0" xfId="0" applyNumberFormat="1" applyFont="1" applyFill="1" applyAlignment="1"/>
    <xf numFmtId="2" fontId="4" fillId="0" borderId="0" xfId="0" applyNumberFormat="1" applyFont="1" applyAlignment="1"/>
    <xf numFmtId="1" fontId="18" fillId="0" borderId="0" xfId="0" applyNumberFormat="1" applyFont="1" applyFill="1" applyAlignment="1"/>
    <xf numFmtId="1" fontId="18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/>
    <xf numFmtId="0" fontId="4" fillId="0" borderId="0" xfId="0" applyFont="1" applyAlignment="1"/>
    <xf numFmtId="1" fontId="14" fillId="0" borderId="0" xfId="0" applyNumberFormat="1" applyFont="1" applyAlignment="1">
      <alignment vertical="center"/>
    </xf>
    <xf numFmtId="2" fontId="0" fillId="0" borderId="0" xfId="0" applyNumberFormat="1" applyFill="1" applyAlignment="1">
      <alignment horizontal="center" vertical="top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49" fontId="0" fillId="17" borderId="0" xfId="0" applyNumberFormat="1" applyFill="1" applyAlignment="1">
      <alignment horizontal="left" vertical="top" wrapText="1" indent="1"/>
    </xf>
    <xf numFmtId="2" fontId="0" fillId="17" borderId="0" xfId="0" applyNumberFormat="1" applyFill="1" applyAlignment="1">
      <alignment horizontal="left" vertical="top" wrapText="1" indent="1"/>
    </xf>
    <xf numFmtId="2" fontId="0" fillId="17" borderId="0" xfId="0" applyNumberFormat="1" applyFill="1"/>
    <xf numFmtId="0" fontId="0" fillId="17" borderId="0" xfId="0" applyFill="1"/>
    <xf numFmtId="49" fontId="0" fillId="18" borderId="0" xfId="0" applyNumberFormat="1" applyFill="1" applyAlignment="1">
      <alignment horizontal="left" vertical="top" wrapText="1" indent="1"/>
    </xf>
    <xf numFmtId="2" fontId="0" fillId="18" borderId="0" xfId="0" applyNumberFormat="1" applyFill="1" applyAlignment="1">
      <alignment horizontal="left" vertical="top" wrapText="1" indent="1"/>
    </xf>
    <xf numFmtId="2" fontId="0" fillId="18" borderId="0" xfId="0" applyNumberFormat="1" applyFill="1"/>
    <xf numFmtId="0" fontId="0" fillId="18" borderId="0" xfId="0" applyFill="1"/>
    <xf numFmtId="0" fontId="12" fillId="18" borderId="0" xfId="0" applyFont="1" applyFill="1"/>
    <xf numFmtId="2" fontId="12" fillId="18" borderId="0" xfId="0" applyNumberFormat="1" applyFont="1" applyFill="1" applyAlignment="1">
      <alignment horizontal="center"/>
    </xf>
    <xf numFmtId="0" fontId="0" fillId="20" borderId="0" xfId="0" applyFill="1" applyAlignment="1">
      <alignment vertical="top" wrapText="1"/>
    </xf>
    <xf numFmtId="2" fontId="0" fillId="20" borderId="0" xfId="0" applyNumberFormat="1" applyFill="1"/>
    <xf numFmtId="49" fontId="0" fillId="21" borderId="0" xfId="0" applyNumberFormat="1" applyFill="1" applyAlignment="1">
      <alignment horizontal="left" vertical="top" wrapText="1" indent="1"/>
    </xf>
    <xf numFmtId="2" fontId="0" fillId="21" borderId="0" xfId="0" applyNumberFormat="1" applyFill="1"/>
    <xf numFmtId="0" fontId="0" fillId="21" borderId="0" xfId="0" applyFill="1"/>
    <xf numFmtId="2" fontId="10" fillId="0" borderId="0" xfId="0" applyNumberFormat="1" applyFont="1" applyAlignment="1">
      <alignment horizontal="left" vertical="center" wrapText="1"/>
    </xf>
    <xf numFmtId="1" fontId="10" fillId="2" borderId="0" xfId="0" applyNumberFormat="1" applyFont="1" applyFill="1" applyAlignment="1">
      <alignment horizontal="center" vertical="top"/>
    </xf>
    <xf numFmtId="2" fontId="0" fillId="19" borderId="0" xfId="0" applyNumberFormat="1" applyFill="1" applyAlignment="1">
      <alignment vertical="center"/>
    </xf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left"/>
    </xf>
    <xf numFmtId="0" fontId="0" fillId="17" borderId="0" xfId="0" applyFill="1" applyAlignment="1">
      <alignment horizontal="right"/>
    </xf>
    <xf numFmtId="0" fontId="16" fillId="17" borderId="0" xfId="0" applyFont="1" applyFill="1"/>
    <xf numFmtId="0" fontId="16" fillId="17" borderId="0" xfId="0" applyFont="1" applyFill="1" applyAlignment="1">
      <alignment horizontal="left"/>
    </xf>
    <xf numFmtId="2" fontId="16" fillId="17" borderId="0" xfId="0" applyNumberFormat="1" applyFont="1" applyFill="1"/>
    <xf numFmtId="2" fontId="16" fillId="17" borderId="0" xfId="0" applyNumberFormat="1" applyFont="1" applyFill="1" applyAlignment="1">
      <alignment horizontal="center"/>
    </xf>
    <xf numFmtId="2" fontId="16" fillId="17" borderId="0" xfId="0" applyNumberFormat="1" applyFont="1" applyFill="1" applyAlignment="1">
      <alignment horizontal="left"/>
    </xf>
    <xf numFmtId="0" fontId="12" fillId="17" borderId="0" xfId="0" applyFont="1" applyFill="1"/>
    <xf numFmtId="2" fontId="12" fillId="17" borderId="0" xfId="0" applyNumberFormat="1" applyFont="1" applyFill="1"/>
    <xf numFmtId="2" fontId="12" fillId="17" borderId="0" xfId="0" applyNumberFormat="1" applyFont="1" applyFill="1" applyAlignment="1">
      <alignment horizontal="center"/>
    </xf>
    <xf numFmtId="2" fontId="12" fillId="17" borderId="0" xfId="0" applyNumberFormat="1" applyFont="1" applyFill="1" applyAlignment="1">
      <alignment horizontal="left"/>
    </xf>
    <xf numFmtId="0" fontId="0" fillId="20" borderId="0" xfId="0" applyFill="1"/>
    <xf numFmtId="0" fontId="0" fillId="20" borderId="0" xfId="0" applyFill="1" applyAlignment="1">
      <alignment horizontal="right"/>
    </xf>
    <xf numFmtId="0" fontId="12" fillId="20" borderId="0" xfId="0" applyFont="1" applyFill="1"/>
    <xf numFmtId="0" fontId="16" fillId="20" borderId="0" xfId="0" applyFont="1" applyFill="1"/>
    <xf numFmtId="0" fontId="12" fillId="21" borderId="0" xfId="0" applyFont="1" applyFill="1"/>
    <xf numFmtId="0" fontId="12" fillId="18" borderId="0" xfId="0" applyFont="1" applyFill="1" applyAlignment="1">
      <alignment horizontal="center"/>
    </xf>
    <xf numFmtId="0" fontId="0" fillId="20" borderId="0" xfId="0" applyFill="1" applyAlignment="1">
      <alignment horizontal="center"/>
    </xf>
    <xf numFmtId="0" fontId="12" fillId="21" borderId="0" xfId="0" applyFont="1" applyFill="1" applyAlignment="1">
      <alignment horizontal="center"/>
    </xf>
    <xf numFmtId="0" fontId="16" fillId="20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0" fillId="20" borderId="0" xfId="0" applyFill="1" applyAlignment="1">
      <alignment horizontal="left"/>
    </xf>
    <xf numFmtId="0" fontId="12" fillId="20" borderId="0" xfId="0" applyFont="1" applyFill="1" applyAlignment="1">
      <alignment horizontal="left"/>
    </xf>
    <xf numFmtId="0" fontId="16" fillId="20" borderId="0" xfId="0" applyFont="1" applyFill="1" applyAlignment="1">
      <alignment horizontal="left"/>
    </xf>
    <xf numFmtId="2" fontId="4" fillId="18" borderId="0" xfId="0" applyNumberFormat="1" applyFont="1" applyFill="1" applyAlignment="1"/>
    <xf numFmtId="0" fontId="4" fillId="18" borderId="0" xfId="0" applyFont="1" applyFill="1" applyAlignment="1"/>
    <xf numFmtId="2" fontId="18" fillId="18" borderId="0" xfId="0" applyNumberFormat="1" applyFont="1" applyFill="1" applyAlignment="1">
      <alignment horizontal="right"/>
    </xf>
    <xf numFmtId="2" fontId="18" fillId="18" borderId="0" xfId="0" applyNumberFormat="1" applyFont="1" applyFill="1" applyAlignment="1"/>
    <xf numFmtId="0" fontId="18" fillId="18" borderId="0" xfId="0" applyNumberFormat="1" applyFont="1" applyFill="1" applyAlignment="1">
      <alignment horizontal="right"/>
    </xf>
    <xf numFmtId="1" fontId="0" fillId="0" borderId="0" xfId="0" applyNumberFormat="1" applyFill="1" applyAlignment="1">
      <alignment vertical="center"/>
    </xf>
    <xf numFmtId="2" fontId="14" fillId="0" borderId="0" xfId="0" applyNumberFormat="1" applyFont="1" applyFill="1" applyAlignment="1">
      <alignment horizontal="left" vertical="top" wrapText="1"/>
    </xf>
    <xf numFmtId="1" fontId="14" fillId="0" borderId="0" xfId="0" applyNumberFormat="1" applyFont="1" applyFill="1" applyAlignment="1">
      <alignment horizontal="left" vertical="top" wrapText="1"/>
    </xf>
    <xf numFmtId="1" fontId="19" fillId="0" borderId="0" xfId="0" applyNumberFormat="1" applyFont="1" applyFill="1" applyAlignment="1">
      <alignment horizontal="left" vertical="top" wrapText="1"/>
    </xf>
    <xf numFmtId="165" fontId="0" fillId="0" borderId="0" xfId="0" applyNumberFormat="1" applyFill="1"/>
    <xf numFmtId="165" fontId="0" fillId="18" borderId="0" xfId="0" applyNumberFormat="1" applyFill="1"/>
    <xf numFmtId="0" fontId="15" fillId="18" borderId="0" xfId="0" applyNumberFormat="1" applyFont="1" applyFill="1" applyAlignment="1">
      <alignment horizontal="right"/>
    </xf>
    <xf numFmtId="2" fontId="0" fillId="17" borderId="0" xfId="0" applyNumberFormat="1" applyFill="1" applyAlignment="1">
      <alignment vertical="top" wrapText="1"/>
    </xf>
    <xf numFmtId="2" fontId="0" fillId="17" borderId="0" xfId="0" applyNumberFormat="1" applyFill="1" applyAlignment="1"/>
    <xf numFmtId="2" fontId="0" fillId="11" borderId="0" xfId="0" applyNumberFormat="1" applyFill="1" applyAlignment="1">
      <alignment vertical="top" wrapText="1"/>
    </xf>
    <xf numFmtId="2" fontId="0" fillId="11" borderId="0" xfId="0" quotePrefix="1" applyNumberFormat="1" applyFill="1" applyAlignment="1">
      <alignment horizontal="left"/>
    </xf>
    <xf numFmtId="0" fontId="0" fillId="11" borderId="0" xfId="0" applyFill="1" applyAlignment="1">
      <alignment horizontal="left"/>
    </xf>
    <xf numFmtId="49" fontId="4" fillId="18" borderId="0" xfId="0" applyNumberFormat="1" applyFont="1" applyFill="1" applyAlignment="1">
      <alignment horizontal="left" vertical="top" wrapText="1" indent="1"/>
    </xf>
    <xf numFmtId="2" fontId="4" fillId="18" borderId="0" xfId="0" applyNumberFormat="1" applyFont="1" applyFill="1" applyAlignment="1">
      <alignment horizontal="left" vertical="top" wrapText="1" indent="1"/>
    </xf>
    <xf numFmtId="2" fontId="27" fillId="18" borderId="0" xfId="0" applyNumberFormat="1" applyFont="1" applyFill="1" applyAlignment="1">
      <alignment horizontal="center" vertical="center" readingOrder="1"/>
    </xf>
    <xf numFmtId="2" fontId="4" fillId="18" borderId="0" xfId="0" applyNumberFormat="1" applyFont="1" applyFill="1"/>
    <xf numFmtId="2" fontId="18" fillId="18" borderId="0" xfId="0" applyNumberFormat="1" applyFont="1" applyFill="1" applyAlignment="1">
      <alignment vertical="top"/>
    </xf>
    <xf numFmtId="165" fontId="18" fillId="18" borderId="0" xfId="0" applyNumberFormat="1" applyFont="1" applyFill="1" applyAlignment="1">
      <alignment horizontal="right" vertical="top"/>
    </xf>
    <xf numFmtId="0" fontId="4" fillId="0" borderId="0" xfId="0" applyFont="1" applyFill="1" applyAlignment="1"/>
    <xf numFmtId="2" fontId="18" fillId="0" borderId="0" xfId="0" applyNumberFormat="1" applyFont="1" applyFill="1" applyAlignment="1"/>
    <xf numFmtId="2" fontId="0" fillId="23" borderId="0" xfId="0" applyNumberFormat="1" applyFill="1"/>
    <xf numFmtId="1" fontId="10" fillId="23" borderId="0" xfId="0" applyNumberFormat="1" applyFont="1" applyFill="1"/>
    <xf numFmtId="1" fontId="10" fillId="23" borderId="0" xfId="0" applyNumberFormat="1" applyFont="1" applyFill="1" applyAlignment="1">
      <alignment horizontal="right"/>
    </xf>
    <xf numFmtId="164" fontId="10" fillId="23" borderId="0" xfId="0" applyNumberFormat="1" applyFont="1" applyFill="1" applyAlignment="1">
      <alignment horizontal="left" vertical="center" wrapText="1"/>
    </xf>
    <xf numFmtId="0" fontId="10" fillId="23" borderId="0" xfId="0" applyFont="1" applyFill="1"/>
    <xf numFmtId="2" fontId="10" fillId="23" borderId="0" xfId="0" applyNumberFormat="1" applyFont="1" applyFill="1" applyAlignment="1"/>
    <xf numFmtId="164" fontId="10" fillId="23" borderId="0" xfId="0" applyNumberFormat="1" applyFont="1" applyFill="1" applyAlignment="1"/>
    <xf numFmtId="1" fontId="10" fillId="23" borderId="0" xfId="0" applyNumberFormat="1" applyFont="1" applyFill="1" applyAlignment="1">
      <alignment horizontal="right" vertical="top"/>
    </xf>
    <xf numFmtId="2" fontId="10" fillId="23" borderId="0" xfId="0" applyNumberFormat="1" applyFont="1" applyFill="1" applyAlignment="1">
      <alignment horizontal="left" vertical="top"/>
    </xf>
    <xf numFmtId="0" fontId="10" fillId="23" borderId="0" xfId="0" applyFont="1" applyFill="1" applyAlignment="1">
      <alignment vertical="top"/>
    </xf>
    <xf numFmtId="1" fontId="14" fillId="22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 shrinkToFit="1"/>
    </xf>
    <xf numFmtId="2" fontId="13" fillId="24" borderId="0" xfId="0" applyNumberFormat="1" applyFont="1" applyFill="1" applyAlignment="1">
      <alignment horizontal="left" vertical="center" wrapText="1"/>
    </xf>
    <xf numFmtId="2" fontId="10" fillId="4" borderId="0" xfId="0" applyNumberFormat="1" applyFont="1" applyFill="1" applyAlignment="1">
      <alignment horizontal="center" vertical="top" wrapText="1"/>
    </xf>
    <xf numFmtId="1" fontId="10" fillId="6" borderId="0" xfId="0" applyNumberFormat="1" applyFont="1" applyFill="1" applyAlignment="1">
      <alignment horizontal="center" vertical="top" wrapText="1"/>
    </xf>
    <xf numFmtId="1" fontId="10" fillId="13" borderId="0" xfId="0" applyNumberFormat="1" applyFont="1" applyFill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2" fontId="14" fillId="5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10" fillId="20" borderId="0" xfId="0" applyFont="1" applyFill="1" applyAlignment="1">
      <alignment horizontal="center" vertical="top" wrapText="1"/>
    </xf>
    <xf numFmtId="0" fontId="10" fillId="19" borderId="0" xfId="0" applyFont="1" applyFill="1" applyAlignment="1">
      <alignment horizontal="center" vertical="top" wrapText="1"/>
    </xf>
    <xf numFmtId="1" fontId="18" fillId="12" borderId="0" xfId="0" applyNumberFormat="1" applyFont="1" applyFill="1" applyAlignment="1">
      <alignment horizontal="left" vertical="center"/>
    </xf>
    <xf numFmtId="2" fontId="10" fillId="18" borderId="0" xfId="0" applyNumberFormat="1" applyFont="1" applyFill="1" applyAlignment="1">
      <alignment horizontal="center" vertical="top" wrapText="1"/>
    </xf>
    <xf numFmtId="0" fontId="10" fillId="17" borderId="0" xfId="0" applyFont="1" applyFill="1" applyAlignment="1">
      <alignment horizontal="center" vertical="top" wrapText="1"/>
    </xf>
    <xf numFmtId="2" fontId="10" fillId="23" borderId="0" xfId="0" applyNumberFormat="1" applyFont="1" applyFill="1" applyAlignment="1">
      <alignment horizontal="left" vertical="center" wrapText="1"/>
    </xf>
    <xf numFmtId="1" fontId="19" fillId="12" borderId="0" xfId="0" applyNumberFormat="1" applyFont="1" applyFill="1" applyAlignment="1">
      <alignment horizontal="left" vertical="top" wrapText="1"/>
    </xf>
  </cellXfs>
  <cellStyles count="3">
    <cellStyle name="Normal 2" xfId="2" xr:uid="{397DDE81-D842-4451-90B8-F60AEAE1E5B6}"/>
    <cellStyle name="Standaard" xfId="0" builtinId="0"/>
    <cellStyle name="Standaard 2" xfId="1" xr:uid="{0E062A22-D10B-4F36-B9F5-414AFD32A5DA}"/>
  </cellStyles>
  <dxfs count="0"/>
  <tableStyles count="0" defaultTableStyle="TableStyleMedium2" defaultPivotStyle="PivotStyleLight16"/>
  <colors>
    <mruColors>
      <color rgb="FFFFFF00"/>
      <color rgb="FFFFFFCC"/>
      <color rgb="FFFFFF99"/>
      <color rgb="FFFFFF66"/>
      <color rgb="FFFF7C80"/>
      <color rgb="FFFF6600"/>
      <color rgb="FFFCF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marL="0" marR="0" lvl="8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Fig. 2      </a:t>
            </a:r>
            <a:r>
              <a:rPr lang="en-US" sz="1600" i="1">
                <a:solidFill>
                  <a:sysClr val="windowText" lastClr="000000"/>
                </a:solidFill>
              </a:rPr>
              <a:t>N(t):</a:t>
            </a:r>
            <a:r>
              <a:rPr lang="en-US" sz="1600" i="1" baseline="0">
                <a:solidFill>
                  <a:sysClr val="windowText" lastClr="000000"/>
                </a:solidFill>
              </a:rPr>
              <a:t> annually averaged atmosferic </a:t>
            </a:r>
            <a:r>
              <a:rPr lang="en-US" sz="1600" i="1">
                <a:solidFill>
                  <a:sysClr val="windowText" lastClr="000000"/>
                </a:solidFill>
              </a:rPr>
              <a:t>CO</a:t>
            </a:r>
            <a:r>
              <a:rPr lang="en-US" sz="1600" i="1" baseline="-25000">
                <a:solidFill>
                  <a:sysClr val="windowText" lastClr="000000"/>
                </a:solidFill>
              </a:rPr>
              <a:t>2</a:t>
            </a:r>
            <a:r>
              <a:rPr lang="en-US" sz="1600" i="1">
                <a:solidFill>
                  <a:sysClr val="windowText" lastClr="000000"/>
                </a:solidFill>
              </a:rPr>
              <a:t> from the </a:t>
            </a:r>
            <a:r>
              <a:rPr lang="en-US" sz="1600" i="1" baseline="0">
                <a:solidFill>
                  <a:sysClr val="windowText" lastClr="000000"/>
                </a:solidFill>
              </a:rPr>
              <a:t>Mauna Loa database in ppm;</a:t>
            </a:r>
          </a:p>
          <a:p>
            <a:pPr marL="0" marR="0" lvl="8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i="1" baseline="0">
                <a:solidFill>
                  <a:sysClr val="windowText" lastClr="000000"/>
                </a:solidFill>
              </a:rPr>
              <a:t>               B(t):  fossile emission data from the CDIAC database in ppm/y;</a:t>
            </a:r>
          </a:p>
          <a:p>
            <a:pPr marL="0" marR="0" lvl="8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i="1" baseline="0">
                <a:solidFill>
                  <a:sysClr val="windowText" lastClr="000000"/>
                </a:solidFill>
              </a:rPr>
              <a:t>               dN(t)/dt: time derivative from the curve-fit N(t) to the Mauna Loa data in p</a:t>
            </a:r>
          </a:p>
        </c:rich>
      </c:tx>
      <c:layout>
        <c:manualLayout>
          <c:xMode val="edge"/>
          <c:yMode val="edge"/>
          <c:x val="0.11470356646595646"/>
          <c:y val="4.3985924605115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marL="0" marR="0" lvl="8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1360245870001547"/>
          <c:y val="0.16406408617760454"/>
          <c:w val="0.74139377798363437"/>
          <c:h val="0.7556955380577427"/>
        </c:manualLayout>
      </c:layout>
      <c:scatterChart>
        <c:scatterStyle val="lineMarker"/>
        <c:varyColors val="0"/>
        <c:ser>
          <c:idx val="0"/>
          <c:order val="0"/>
          <c:tx>
            <c:v>N(t) Mauna Loa 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A-4527-8281-BFC493ADC5BD}"/>
              </c:ext>
            </c:extLst>
          </c:dPt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Calculus!$A$3:$A$64</c:f>
              <c:numCache>
                <c:formatCode>0</c:formatCode>
                <c:ptCount val="62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</c:numCache>
            </c:numRef>
          </c:xVal>
          <c:yVal>
            <c:numRef>
              <c:f>Calculus!$B$3:$B$63</c:f>
              <c:numCache>
                <c:formatCode>General</c:formatCode>
                <c:ptCount val="61"/>
                <c:pt idx="0">
                  <c:v>315.97000000000003</c:v>
                </c:pt>
                <c:pt idx="1">
                  <c:v>316.91000000000003</c:v>
                </c:pt>
                <c:pt idx="2">
                  <c:v>317.64</c:v>
                </c:pt>
                <c:pt idx="3">
                  <c:v>318.45</c:v>
                </c:pt>
                <c:pt idx="4">
                  <c:v>318.99</c:v>
                </c:pt>
                <c:pt idx="5">
                  <c:v>319.62</c:v>
                </c:pt>
                <c:pt idx="6">
                  <c:v>320.04000000000002</c:v>
                </c:pt>
                <c:pt idx="7">
                  <c:v>321.38</c:v>
                </c:pt>
                <c:pt idx="8">
                  <c:v>322.16000000000003</c:v>
                </c:pt>
                <c:pt idx="9">
                  <c:v>323.04000000000002</c:v>
                </c:pt>
                <c:pt idx="10">
                  <c:v>324.62</c:v>
                </c:pt>
                <c:pt idx="11">
                  <c:v>325.68</c:v>
                </c:pt>
                <c:pt idx="12">
                  <c:v>326.32</c:v>
                </c:pt>
                <c:pt idx="13">
                  <c:v>327.45</c:v>
                </c:pt>
                <c:pt idx="14">
                  <c:v>329.68</c:v>
                </c:pt>
                <c:pt idx="15">
                  <c:v>330.18</c:v>
                </c:pt>
                <c:pt idx="16">
                  <c:v>331.11</c:v>
                </c:pt>
                <c:pt idx="17">
                  <c:v>332.04</c:v>
                </c:pt>
                <c:pt idx="18">
                  <c:v>333.83</c:v>
                </c:pt>
                <c:pt idx="19">
                  <c:v>335.4</c:v>
                </c:pt>
                <c:pt idx="20">
                  <c:v>336.84</c:v>
                </c:pt>
                <c:pt idx="21">
                  <c:v>338.75</c:v>
                </c:pt>
                <c:pt idx="22">
                  <c:v>340.11</c:v>
                </c:pt>
                <c:pt idx="23">
                  <c:v>341.45</c:v>
                </c:pt>
                <c:pt idx="24">
                  <c:v>343.05</c:v>
                </c:pt>
                <c:pt idx="25">
                  <c:v>344.65</c:v>
                </c:pt>
                <c:pt idx="26">
                  <c:v>346.12</c:v>
                </c:pt>
                <c:pt idx="27">
                  <c:v>347.42</c:v>
                </c:pt>
                <c:pt idx="28">
                  <c:v>349.19</c:v>
                </c:pt>
                <c:pt idx="29">
                  <c:v>351.57</c:v>
                </c:pt>
                <c:pt idx="30">
                  <c:v>353.12</c:v>
                </c:pt>
                <c:pt idx="31">
                  <c:v>354.39</c:v>
                </c:pt>
                <c:pt idx="32">
                  <c:v>355.61</c:v>
                </c:pt>
                <c:pt idx="33">
                  <c:v>356.45</c:v>
                </c:pt>
                <c:pt idx="34">
                  <c:v>357.1</c:v>
                </c:pt>
                <c:pt idx="35">
                  <c:v>358.83</c:v>
                </c:pt>
                <c:pt idx="36">
                  <c:v>360.82</c:v>
                </c:pt>
                <c:pt idx="37">
                  <c:v>362.61</c:v>
                </c:pt>
                <c:pt idx="38">
                  <c:v>363.73</c:v>
                </c:pt>
                <c:pt idx="39">
                  <c:v>366.7</c:v>
                </c:pt>
                <c:pt idx="40">
                  <c:v>368.38</c:v>
                </c:pt>
                <c:pt idx="41">
                  <c:v>369.55</c:v>
                </c:pt>
                <c:pt idx="42">
                  <c:v>371.14</c:v>
                </c:pt>
                <c:pt idx="43">
                  <c:v>373.28</c:v>
                </c:pt>
                <c:pt idx="44">
                  <c:v>375.8</c:v>
                </c:pt>
                <c:pt idx="45">
                  <c:v>377.52</c:v>
                </c:pt>
                <c:pt idx="46">
                  <c:v>379.8</c:v>
                </c:pt>
                <c:pt idx="47">
                  <c:v>381.9</c:v>
                </c:pt>
                <c:pt idx="48">
                  <c:v>383.79</c:v>
                </c:pt>
                <c:pt idx="49">
                  <c:v>385.6</c:v>
                </c:pt>
                <c:pt idx="50">
                  <c:v>387.43</c:v>
                </c:pt>
                <c:pt idx="51">
                  <c:v>389.9</c:v>
                </c:pt>
                <c:pt idx="52">
                  <c:v>391.65</c:v>
                </c:pt>
                <c:pt idx="53">
                  <c:v>393.85</c:v>
                </c:pt>
                <c:pt idx="54">
                  <c:v>396.52</c:v>
                </c:pt>
                <c:pt idx="55">
                  <c:v>398.65</c:v>
                </c:pt>
                <c:pt idx="56">
                  <c:v>400.83</c:v>
                </c:pt>
                <c:pt idx="57">
                  <c:v>404.24</c:v>
                </c:pt>
                <c:pt idx="58">
                  <c:v>406.55</c:v>
                </c:pt>
                <c:pt idx="59">
                  <c:v>408.52</c:v>
                </c:pt>
                <c:pt idx="60" formatCode="0.00">
                  <c:v>411.43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9A-4527-8281-BFC493ADC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04776"/>
        <c:axId val="444113632"/>
        <c:extLst/>
      </c:scatterChart>
      <c:scatterChart>
        <c:scatterStyle val="lineMarker"/>
        <c:varyColors val="0"/>
        <c:ser>
          <c:idx val="1"/>
          <c:order val="1"/>
          <c:tx>
            <c:strRef>
              <c:f>Calculus!$D$2</c:f>
              <c:strCache>
                <c:ptCount val="1"/>
                <c:pt idx="0">
                  <c:v>dN(t)/dt from N(t) trendline (column B) in ppm/y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Calculus!$A$3:$A$63</c:f>
              <c:numCache>
                <c:formatCode>0</c:formatCode>
                <c:ptCount val="61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</c:numCache>
            </c:numRef>
          </c:xVal>
          <c:yVal>
            <c:numRef>
              <c:f>Calculus!$D$3:$D$63</c:f>
              <c:numCache>
                <c:formatCode>0.00</c:formatCode>
                <c:ptCount val="61"/>
                <c:pt idx="0">
                  <c:v>0.88257389145007892</c:v>
                </c:pt>
                <c:pt idx="1">
                  <c:v>0.90246307375184642</c:v>
                </c:pt>
                <c:pt idx="2">
                  <c:v>0.92254382890928355</c:v>
                </c:pt>
                <c:pt idx="3">
                  <c:v>0.94281615692261767</c:v>
                </c:pt>
                <c:pt idx="4">
                  <c:v>0.96328005779190562</c:v>
                </c:pt>
                <c:pt idx="5">
                  <c:v>0.98393553151692004</c:v>
                </c:pt>
                <c:pt idx="6">
                  <c:v>1.0047825780978883</c:v>
                </c:pt>
                <c:pt idx="7">
                  <c:v>1.0258211975346967</c:v>
                </c:pt>
                <c:pt idx="8">
                  <c:v>1.0470513898272884</c:v>
                </c:pt>
                <c:pt idx="9">
                  <c:v>1.0684731549756634</c:v>
                </c:pt>
                <c:pt idx="10">
                  <c:v>1.0900864929800491</c:v>
                </c:pt>
                <c:pt idx="11">
                  <c:v>1.1118914038402181</c:v>
                </c:pt>
                <c:pt idx="12">
                  <c:v>1.1338878875562841</c:v>
                </c:pt>
                <c:pt idx="13">
                  <c:v>1.1560759441280197</c:v>
                </c:pt>
                <c:pt idx="14">
                  <c:v>1.178455573555766</c:v>
                </c:pt>
                <c:pt idx="15">
                  <c:v>1.2010267758392956</c:v>
                </c:pt>
                <c:pt idx="16">
                  <c:v>1.2237895509786085</c:v>
                </c:pt>
                <c:pt idx="17">
                  <c:v>1.2467438989738753</c:v>
                </c:pt>
                <c:pt idx="18">
                  <c:v>1.2698898198249822</c:v>
                </c:pt>
                <c:pt idx="19">
                  <c:v>1.2932273135319292</c:v>
                </c:pt>
                <c:pt idx="20">
                  <c:v>1.3167563800946027</c:v>
                </c:pt>
                <c:pt idx="21">
                  <c:v>1.3404770195132869</c:v>
                </c:pt>
                <c:pt idx="22">
                  <c:v>1.3643892317878112</c:v>
                </c:pt>
                <c:pt idx="23">
                  <c:v>1.388493016918062</c:v>
                </c:pt>
                <c:pt idx="24">
                  <c:v>1.4127883749042098</c:v>
                </c:pt>
                <c:pt idx="25">
                  <c:v>1.4372753057462546</c:v>
                </c:pt>
                <c:pt idx="26">
                  <c:v>1.4619538094441396</c:v>
                </c:pt>
                <c:pt idx="27">
                  <c:v>1.4868238859978078</c:v>
                </c:pt>
                <c:pt idx="28">
                  <c:v>1.511885535407373</c:v>
                </c:pt>
                <c:pt idx="29">
                  <c:v>1.5371387576727784</c:v>
                </c:pt>
                <c:pt idx="30">
                  <c:v>1.5625835527939671</c:v>
                </c:pt>
                <c:pt idx="31">
                  <c:v>1.5882199207710528</c:v>
                </c:pt>
                <c:pt idx="32">
                  <c:v>1.6140478616040355</c:v>
                </c:pt>
                <c:pt idx="33">
                  <c:v>1.6400673752928583</c:v>
                </c:pt>
                <c:pt idx="34">
                  <c:v>1.6662784618374076</c:v>
                </c:pt>
                <c:pt idx="35">
                  <c:v>1.6926811212379107</c:v>
                </c:pt>
                <c:pt idx="36">
                  <c:v>1.719275353494254</c:v>
                </c:pt>
                <c:pt idx="37">
                  <c:v>1.7460611586064942</c:v>
                </c:pt>
                <c:pt idx="38">
                  <c:v>1.7730385365744041</c:v>
                </c:pt>
                <c:pt idx="39">
                  <c:v>1.8002074873983247</c:v>
                </c:pt>
                <c:pt idx="40">
                  <c:v>1.8275680110780286</c:v>
                </c:pt>
                <c:pt idx="41">
                  <c:v>1.8551201076135158</c:v>
                </c:pt>
                <c:pt idx="42">
                  <c:v>1.8828637770049568</c:v>
                </c:pt>
                <c:pt idx="43">
                  <c:v>1.9107990192522948</c:v>
                </c:pt>
                <c:pt idx="44">
                  <c:v>1.9389258343553593</c:v>
                </c:pt>
                <c:pt idx="45">
                  <c:v>1.9672442223142639</c:v>
                </c:pt>
                <c:pt idx="46">
                  <c:v>1.9957541831290655</c:v>
                </c:pt>
                <c:pt idx="47">
                  <c:v>2.0244557167997073</c:v>
                </c:pt>
                <c:pt idx="48">
                  <c:v>2.0533488233261323</c:v>
                </c:pt>
                <c:pt idx="49">
                  <c:v>2.0824335027085681</c:v>
                </c:pt>
                <c:pt idx="50">
                  <c:v>2.1117097549467871</c:v>
                </c:pt>
                <c:pt idx="51">
                  <c:v>2.1411775800407895</c:v>
                </c:pt>
                <c:pt idx="52">
                  <c:v>2.1708369779905752</c:v>
                </c:pt>
                <c:pt idx="53">
                  <c:v>2.2006879487963715</c:v>
                </c:pt>
                <c:pt idx="54">
                  <c:v>2.2307304924579512</c:v>
                </c:pt>
                <c:pt idx="55">
                  <c:v>2.2609646089752005</c:v>
                </c:pt>
                <c:pt idx="56">
                  <c:v>2.2913902983485741</c:v>
                </c:pt>
                <c:pt idx="57">
                  <c:v>2.3220075605776742</c:v>
                </c:pt>
                <c:pt idx="58">
                  <c:v>2.3528163956626713</c:v>
                </c:pt>
                <c:pt idx="59">
                  <c:v>2.3838168036033949</c:v>
                </c:pt>
                <c:pt idx="60">
                  <c:v>2.4150087844000723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9A-4527-8281-BFC493ADC5BD}"/>
            </c:ext>
          </c:extLst>
        </c:ser>
        <c:ser>
          <c:idx val="3"/>
          <c:order val="2"/>
          <c:tx>
            <c:strRef>
              <c:f>Calculus!$G$2</c:f>
              <c:strCache>
                <c:ptCount val="1"/>
                <c:pt idx="0">
                  <c:v>CO2 fossiel B(t) translated from clmn F into ppm/y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Calculus!$A$4:$A$63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xVal>
          <c:yVal>
            <c:numRef>
              <c:f>Calculus!$G$4:$G$63</c:f>
              <c:numCache>
                <c:formatCode>0.00</c:formatCode>
                <c:ptCount val="60"/>
                <c:pt idx="0">
                  <c:v>1.1986053957276721</c:v>
                </c:pt>
                <c:pt idx="1">
                  <c:v>1.2014060968916629</c:v>
                </c:pt>
                <c:pt idx="2">
                  <c:v>1.2440418278695931</c:v>
                </c:pt>
                <c:pt idx="3">
                  <c:v>1.3144987727789472</c:v>
                </c:pt>
                <c:pt idx="4">
                  <c:v>1.3828835887241848</c:v>
                </c:pt>
                <c:pt idx="5">
                  <c:v>1.4471197290246582</c:v>
                </c:pt>
                <c:pt idx="6">
                  <c:v>1.5144133187968463</c:v>
                </c:pt>
                <c:pt idx="7">
                  <c:v>1.5628837638883537</c:v>
                </c:pt>
                <c:pt idx="8">
                  <c:v>1.6481847781938033</c:v>
                </c:pt>
                <c:pt idx="9">
                  <c:v>1.7579612567462719</c:v>
                </c:pt>
                <c:pt idx="10">
                  <c:v>1.9035589303881777</c:v>
                </c:pt>
                <c:pt idx="11">
                  <c:v>1.9804483793423964</c:v>
                </c:pt>
                <c:pt idx="12">
                  <c:v>2.072502219470441</c:v>
                </c:pt>
                <c:pt idx="13">
                  <c:v>2.1826334616295235</c:v>
                </c:pt>
                <c:pt idx="14">
                  <c:v>2.1731965353966189</c:v>
                </c:pt>
                <c:pt idx="15">
                  <c:v>2.1704413377534371</c:v>
                </c:pt>
                <c:pt idx="16">
                  <c:v>2.2855902333745197</c:v>
                </c:pt>
                <c:pt idx="17">
                  <c:v>2.3483405083319928</c:v>
                </c:pt>
                <c:pt idx="18">
                  <c:v>2.4343750213413782</c:v>
                </c:pt>
                <c:pt idx="19">
                  <c:v>2.4992928318002789</c:v>
                </c:pt>
                <c:pt idx="20">
                  <c:v>2.487346120982084</c:v>
                </c:pt>
                <c:pt idx="21">
                  <c:v>2.4198051034258152</c:v>
                </c:pt>
                <c:pt idx="22">
                  <c:v>2.4018420012924353</c:v>
                </c:pt>
                <c:pt idx="23">
                  <c:v>2.4246116721018942</c:v>
                </c:pt>
                <c:pt idx="24">
                  <c:v>2.4951660975883683</c:v>
                </c:pt>
                <c:pt idx="25">
                  <c:v>2.5840521850811458</c:v>
                </c:pt>
                <c:pt idx="26">
                  <c:v>2.6208455191893787</c:v>
                </c:pt>
                <c:pt idx="27">
                  <c:v>2.7058138919507138</c:v>
                </c:pt>
                <c:pt idx="28">
                  <c:v>2.8093159056733192</c:v>
                </c:pt>
                <c:pt idx="29">
                  <c:v>2.8516434416867771</c:v>
                </c:pt>
                <c:pt idx="30">
                  <c:v>2.9140949170712545</c:v>
                </c:pt>
                <c:pt idx="31">
                  <c:v>2.9748220365696141</c:v>
                </c:pt>
                <c:pt idx="32">
                  <c:v>2.8818831765276394</c:v>
                </c:pt>
                <c:pt idx="33">
                  <c:v>2.9139423505316313</c:v>
                </c:pt>
                <c:pt idx="34">
                  <c:v>2.9346547682061099</c:v>
                </c:pt>
                <c:pt idx="35">
                  <c:v>2.9979897528692891</c:v>
                </c:pt>
                <c:pt idx="36">
                  <c:v>3.0913732269240408</c:v>
                </c:pt>
                <c:pt idx="37">
                  <c:v>3.1089901043695849</c:v>
                </c:pt>
                <c:pt idx="38">
                  <c:v>3.0978228188683761</c:v>
                </c:pt>
                <c:pt idx="39">
                  <c:v>3.1371626576341312</c:v>
                </c:pt>
                <c:pt idx="40">
                  <c:v>3.2266782185588796</c:v>
                </c:pt>
                <c:pt idx="41">
                  <c:v>3.2536317371348349</c:v>
                </c:pt>
                <c:pt idx="42">
                  <c:v>3.3248156517310621</c:v>
                </c:pt>
                <c:pt idx="43">
                  <c:v>3.484973268828941</c:v>
                </c:pt>
                <c:pt idx="44">
                  <c:v>3.6487030792137598</c:v>
                </c:pt>
                <c:pt idx="45">
                  <c:v>3.7714292869685231</c:v>
                </c:pt>
                <c:pt idx="46">
                  <c:v>3.8964432524771504</c:v>
                </c:pt>
                <c:pt idx="47">
                  <c:v>4.0127201192587778</c:v>
                </c:pt>
                <c:pt idx="48">
                  <c:v>4.1040848797914826</c:v>
                </c:pt>
                <c:pt idx="49">
                  <c:v>4.0448049598731828</c:v>
                </c:pt>
                <c:pt idx="50">
                  <c:v>4.2524725042123173</c:v>
                </c:pt>
                <c:pt idx="51">
                  <c:v>4.3961854901306996</c:v>
                </c:pt>
                <c:pt idx="52">
                  <c:v>4.46308737689621</c:v>
                </c:pt>
                <c:pt idx="53">
                  <c:v>4.4844243461340394</c:v>
                </c:pt>
                <c:pt idx="54">
                  <c:v>4.5184699174537801</c:v>
                </c:pt>
                <c:pt idx="55">
                  <c:v>4.5202405133590435</c:v>
                </c:pt>
                <c:pt idx="56">
                  <c:v>4.5383328040034643</c:v>
                </c:pt>
                <c:pt idx="57">
                  <c:v>4.5935954904228264</c:v>
                </c:pt>
                <c:pt idx="58">
                  <c:v>4.6913740402521364</c:v>
                </c:pt>
                <c:pt idx="59">
                  <c:v>4.9728564826672654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9A-4527-8281-BFC493ADC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021576"/>
        <c:axId val="444020920"/>
        <c:extLst/>
      </c:scatterChart>
      <c:valAx>
        <c:axId val="444104776"/>
        <c:scaling>
          <c:orientation val="minMax"/>
          <c:max val="2020"/>
          <c:min val="19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Calendar Year</a:t>
                </a:r>
              </a:p>
            </c:rich>
          </c:tx>
          <c:layout>
            <c:manualLayout>
              <c:xMode val="edge"/>
              <c:yMode val="edge"/>
              <c:x val="0.37409272351594347"/>
              <c:y val="0.94985665253381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44113632"/>
        <c:crosses val="autoZero"/>
        <c:crossBetween val="midCat"/>
      </c:valAx>
      <c:valAx>
        <c:axId val="444113632"/>
        <c:scaling>
          <c:orientation val="minMax"/>
          <c:max val="42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N(t)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   C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O</a:t>
                </a:r>
                <a:r>
                  <a:rPr lang="en-US" sz="14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 atmospheric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concentration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 in ppm (Mauna Loa)</a:t>
                </a:r>
              </a:p>
            </c:rich>
          </c:tx>
          <c:layout>
            <c:manualLayout>
              <c:xMode val="edge"/>
              <c:yMode val="edge"/>
              <c:x val="4.451173382738921E-2"/>
              <c:y val="0.27617555320614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44104776"/>
        <c:crosses val="autoZero"/>
        <c:crossBetween val="midCat"/>
        <c:majorUnit val="25"/>
      </c:valAx>
      <c:valAx>
        <c:axId val="444020920"/>
        <c:scaling>
          <c:orientation val="minMax"/>
          <c:max val="7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400">
                    <a:solidFill>
                      <a:sysClr val="windowText" lastClr="000000"/>
                    </a:solidFill>
                  </a:rPr>
                  <a:t>d</a:t>
                </a:r>
                <a:r>
                  <a:rPr lang="nl-NL" sz="1400" i="1">
                    <a:solidFill>
                      <a:sysClr val="windowText" lastClr="000000"/>
                    </a:solidFill>
                  </a:rPr>
                  <a:t>N</a:t>
                </a:r>
                <a:r>
                  <a:rPr lang="nl-NL" sz="1400">
                    <a:solidFill>
                      <a:sysClr val="windowText" lastClr="000000"/>
                    </a:solidFill>
                  </a:rPr>
                  <a:t>(t)/dt and B(t) in ppm/y</a:t>
                </a:r>
              </a:p>
            </c:rich>
          </c:tx>
          <c:layout>
            <c:manualLayout>
              <c:xMode val="edge"/>
              <c:yMode val="edge"/>
              <c:x val="0.912626987802995"/>
              <c:y val="0.398328941347261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cross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44021576"/>
        <c:crosses val="max"/>
        <c:crossBetween val="midCat"/>
      </c:valAx>
      <c:valAx>
        <c:axId val="4440215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44020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   </a:t>
            </a:r>
            <a:endParaRPr lang="en-US" sz="1600" i="1"/>
          </a:p>
        </c:rich>
      </c:tx>
      <c:layout>
        <c:manualLayout>
          <c:xMode val="edge"/>
          <c:yMode val="edge"/>
          <c:x val="9.3706666333110269E-2"/>
          <c:y val="4.05962575325087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1810683291307643"/>
          <c:y val="0.1341897562139544"/>
          <c:w val="0.71338397042216484"/>
          <c:h val="0.71737592743818523"/>
        </c:manualLayout>
      </c:layout>
      <c:scatterChart>
        <c:scatterStyle val="lineMarker"/>
        <c:varyColors val="0"/>
        <c:ser>
          <c:idx val="0"/>
          <c:order val="0"/>
          <c:tx>
            <c:v>N(0)=280 ppm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Calculus!$A$4:$A$63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xVal>
          <c:yVal>
            <c:numRef>
              <c:f>Calculus!$J$4:$J$63</c:f>
              <c:numCache>
                <c:formatCode>0</c:formatCode>
                <c:ptCount val="60"/>
                <c:pt idx="0">
                  <c:v>84.791027908001084</c:v>
                </c:pt>
                <c:pt idx="1">
                  <c:v>82.294265787914455</c:v>
                </c:pt>
                <c:pt idx="2">
                  <c:v>80.044047987519889</c:v>
                </c:pt>
                <c:pt idx="3">
                  <c:v>78.008645186848824</c:v>
                </c:pt>
                <c:pt idx="4">
                  <c:v>76.161539167916544</c:v>
                </c:pt>
                <c:pt idx="5">
                  <c:v>74.480395491221842</c:v>
                </c:pt>
                <c:pt idx="6">
                  <c:v>72.946269973346659</c:v>
                </c:pt>
                <c:pt idx="7">
                  <c:v>71.542989161304973</c:v>
                </c:pt>
                <c:pt idx="8">
                  <c:v>70.256661860299801</c:v>
                </c:pt>
                <c:pt idx="9">
                  <c:v>69.075290473450849</c:v>
                </c:pt>
                <c:pt idx="10">
                  <c:v>67.988459143907718</c:v>
                </c:pt>
                <c:pt idx="11">
                  <c:v>66.987081556953299</c:v>
                </c:pt>
                <c:pt idx="12">
                  <c:v>66.063195499401928</c:v>
                </c:pt>
                <c:pt idx="13">
                  <c:v>65.209794366544301</c:v>
                </c:pt>
                <c:pt idx="14">
                  <c:v>64.420688087184786</c:v>
                </c:pt>
                <c:pt idx="15">
                  <c:v>63.690387647438676</c:v>
                </c:pt>
                <c:pt idx="16">
                  <c:v>63.014008669191313</c:v>
                </c:pt>
                <c:pt idx="17">
                  <c:v>62.387190472492911</c:v>
                </c:pt>
                <c:pt idx="18">
                  <c:v>61.806027797036649</c:v>
                </c:pt>
                <c:pt idx="19">
                  <c:v>61.267012932909317</c:v>
                </c:pt>
                <c:pt idx="20">
                  <c:v>60.766986453185559</c:v>
                </c:pt>
                <c:pt idx="21">
                  <c:v>60.303095094039499</c:v>
                </c:pt>
                <c:pt idx="22">
                  <c:v>59.872755600547272</c:v>
                </c:pt>
                <c:pt idx="23">
                  <c:v>59.473623577525331</c:v>
                </c:pt>
                <c:pt idx="24">
                  <c:v>59.103566550733177</c:v>
                </c:pt>
                <c:pt idx="25">
                  <c:v>58.760640593993564</c:v>
                </c:pt>
                <c:pt idx="26">
                  <c:v>58.443069980485227</c:v>
                </c:pt>
                <c:pt idx="27">
                  <c:v>58.149229413146479</c:v>
                </c:pt>
                <c:pt idx="28">
                  <c:v>57.877628458974563</c:v>
                </c:pt>
                <c:pt idx="29">
                  <c:v>57.626897876378408</c:v>
                </c:pt>
                <c:pt idx="30">
                  <c:v>57.395777572125809</c:v>
                </c:pt>
                <c:pt idx="31">
                  <c:v>57.183105964594041</c:v>
                </c:pt>
                <c:pt idx="32">
                  <c:v>56.987810566755108</c:v>
                </c:pt>
                <c:pt idx="33">
                  <c:v>56.808899628322102</c:v>
                </c:pt>
                <c:pt idx="34">
                  <c:v>56.645454700701322</c:v>
                </c:pt>
                <c:pt idx="35">
                  <c:v>56.496624007578305</c:v>
                </c:pt>
                <c:pt idx="36">
                  <c:v>56.361616522240254</c:v>
                </c:pt>
                <c:pt idx="37">
                  <c:v>56.239696663611134</c:v>
                </c:pt>
                <c:pt idx="38">
                  <c:v>56.1301795394943</c:v>
                </c:pt>
                <c:pt idx="39">
                  <c:v>56.032426668602454</c:v>
                </c:pt>
                <c:pt idx="40">
                  <c:v>55.945842130068904</c:v>
                </c:pt>
                <c:pt idx="41">
                  <c:v>55.869869088881067</c:v>
                </c:pt>
                <c:pt idx="42">
                  <c:v>55.803986655300292</c:v>
                </c:pt>
                <c:pt idx="43">
                  <c:v>55.747707042588502</c:v>
                </c:pt>
                <c:pt idx="44">
                  <c:v>55.700572989610087</c:v>
                </c:pt>
                <c:pt idx="45">
                  <c:v>55.662155420619165</c:v>
                </c:pt>
                <c:pt idx="46">
                  <c:v>55.632051315885811</c:v>
                </c:pt>
                <c:pt idx="47">
                  <c:v>55.6098817728775</c:v>
                </c:pt>
                <c:pt idx="48">
                  <c:v>55.595290237903598</c:v>
                </c:pt>
                <c:pt idx="49">
                  <c:v>55.58794089006156</c:v>
                </c:pt>
                <c:pt idx="50">
                  <c:v>55.587517163822142</c:v>
                </c:pt>
                <c:pt idx="51">
                  <c:v>55.593720395680201</c:v>
                </c:pt>
                <c:pt idx="52">
                  <c:v>55.606268583445853</c:v>
                </c:pt>
                <c:pt idx="53">
                  <c:v>55.624895246581801</c:v>
                </c:pt>
                <c:pt idx="54">
                  <c:v>55.649348378900932</c:v>
                </c:pt>
                <c:pt idx="55">
                  <c:v>55.679389485256053</c:v>
                </c:pt>
                <c:pt idx="56">
                  <c:v>55.714792692780684</c:v>
                </c:pt>
                <c:pt idx="57">
                  <c:v>55.755343932655265</c:v>
                </c:pt>
                <c:pt idx="58">
                  <c:v>55.800840183202617</c:v>
                </c:pt>
                <c:pt idx="59">
                  <c:v>55.851088771634537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89-428E-A040-B58C7B875636}"/>
            </c:ext>
          </c:extLst>
        </c:ser>
        <c:ser>
          <c:idx val="1"/>
          <c:order val="1"/>
          <c:tx>
            <c:v>N(0)=287 ppm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Calculus!$A$4:$A$63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xVal>
          <c:yVal>
            <c:numRef>
              <c:f>Calculus!$K$4:$K$63</c:f>
              <c:numCache>
                <c:formatCode>0</c:formatCode>
                <c:ptCount val="60"/>
                <c:pt idx="0">
                  <c:v>68.313493747286103</c:v>
                </c:pt>
                <c:pt idx="1">
                  <c:v>66.697040640389162</c:v>
                </c:pt>
                <c:pt idx="2">
                  <c:v>65.246970129108917</c:v>
                </c:pt>
                <c:pt idx="3">
                  <c:v>63.941874113156963</c:v>
                </c:pt>
                <c:pt idx="4">
                  <c:v>62.763860353907802</c:v>
                </c:pt>
                <c:pt idx="5">
                  <c:v>61.697859357202148</c:v>
                </c:pt>
                <c:pt idx="6">
                  <c:v>60.731088996697345</c:v>
                </c:pt>
                <c:pt idx="7">
                  <c:v>59.852636530382306</c:v>
                </c:pt>
                <c:pt idx="8">
                  <c:v>59.053129036426327</c:v>
                </c:pt>
                <c:pt idx="9">
                  <c:v>58.324471190206054</c:v>
                </c:pt>
                <c:pt idx="10">
                  <c:v>57.659634858799954</c:v>
                </c:pt>
                <c:pt idx="11">
                  <c:v>57.052488946731813</c:v>
                </c:pt>
                <c:pt idx="12">
                  <c:v>56.497660788335089</c:v>
                </c:pt>
                <c:pt idx="13">
                  <c:v>55.990422468204969</c:v>
                </c:pt>
                <c:pt idx="14">
                  <c:v>55.526596988768269</c:v>
                </c:pt>
                <c:pt idx="15">
                  <c:v>55.102480360131885</c:v>
                </c:pt>
                <c:pt idx="16">
                  <c:v>54.714776545804597</c:v>
                </c:pt>
                <c:pt idx="17">
                  <c:v>54.360542854967306</c:v>
                </c:pt>
                <c:pt idx="18">
                  <c:v>54.037143875517472</c:v>
                </c:pt>
                <c:pt idx="19">
                  <c:v>53.742212430520645</c:v>
                </c:pt>
                <c:pt idx="20">
                  <c:v>53.473616337760077</c:v>
                </c:pt>
                <c:pt idx="21">
                  <c:v>53.229429991763986</c:v>
                </c:pt>
                <c:pt idx="22">
                  <c:v>53.0079099706251</c:v>
                </c:pt>
                <c:pt idx="23">
                  <c:v>52.807474020320676</c:v>
                </c:pt>
                <c:pt idx="24">
                  <c:v>52.626682878633844</c:v>
                </c:pt>
                <c:pt idx="25">
                  <c:v>52.464224505787996</c:v>
                </c:pt>
                <c:pt idx="26">
                  <c:v>52.318900355055007</c:v>
                </c:pt>
                <c:pt idx="27">
                  <c:v>52.189613383754136</c:v>
                </c:pt>
                <c:pt idx="28">
                  <c:v>52.075357550820257</c:v>
                </c:pt>
                <c:pt idx="29">
                  <c:v>51.975208591825492</c:v>
                </c:pt>
                <c:pt idx="30">
                  <c:v>51.888315893562137</c:v>
                </c:pt>
                <c:pt idx="31">
                  <c:v>51.813895317151186</c:v>
                </c:pt>
                <c:pt idx="32">
                  <c:v>51.751222844286296</c:v>
                </c:pt>
                <c:pt idx="33">
                  <c:v>51.699628938089006</c:v>
                </c:pt>
                <c:pt idx="34">
                  <c:v>51.658493526570759</c:v>
                </c:pt>
                <c:pt idx="35">
                  <c:v>51.627241529520539</c:v>
                </c:pt>
                <c:pt idx="36">
                  <c:v>51.605338862452562</c:v>
                </c:pt>
                <c:pt idx="37">
                  <c:v>51.592288857654196</c:v>
                </c:pt>
                <c:pt idx="38">
                  <c:v>51.587629054987737</c:v>
                </c:pt>
                <c:pt idx="39">
                  <c:v>51.590928314981689</c:v>
                </c:pt>
                <c:pt idx="40">
                  <c:v>51.601784221030307</c:v>
                </c:pt>
                <c:pt idx="41">
                  <c:v>51.619820734945229</c:v>
                </c:pt>
                <c:pt idx="42">
                  <c:v>51.644686077689506</c:v>
                </c:pt>
                <c:pt idx="43">
                  <c:v>51.676050811619703</c:v>
                </c:pt>
                <c:pt idx="44">
                  <c:v>51.713606101350472</c:v>
                </c:pt>
                <c:pt idx="45">
                  <c:v>51.757062134784334</c:v>
                </c:pt>
                <c:pt idx="46">
                  <c:v>51.806146686091736</c:v>
                </c:pt>
                <c:pt idx="47">
                  <c:v>51.860603807511026</c:v>
                </c:pt>
                <c:pt idx="48">
                  <c:v>51.920192636206565</c:v>
                </c:pt>
                <c:pt idx="49">
                  <c:v>51.984686303613977</c:v>
                </c:pt>
                <c:pt idx="50">
                  <c:v>52.053870938569808</c:v>
                </c:pt>
                <c:pt idx="51">
                  <c:v>52.127544754049772</c:v>
                </c:pt>
                <c:pt idx="52">
                  <c:v>52.205517210010825</c:v>
                </c:pt>
                <c:pt idx="53">
                  <c:v>52.287608244225439</c:v>
                </c:pt>
                <c:pt idx="54">
                  <c:v>52.373647565542385</c:v>
                </c:pt>
                <c:pt idx="55">
                  <c:v>52.463474003977282</c:v>
                </c:pt>
                <c:pt idx="56">
                  <c:v>52.556934910696754</c:v>
                </c:pt>
                <c:pt idx="57">
                  <c:v>52.653885606087648</c:v>
                </c:pt>
                <c:pt idx="58">
                  <c:v>52.754188868736293</c:v>
                </c:pt>
                <c:pt idx="59">
                  <c:v>52.857714464428874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89-428E-A040-B58C7B875636}"/>
            </c:ext>
          </c:extLst>
        </c:ser>
        <c:ser>
          <c:idx val="2"/>
          <c:order val="2"/>
          <c:tx>
            <c:v>N(0)=294 ppm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Calculus!$A$4:$A$63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xVal>
          <c:yVal>
            <c:numRef>
              <c:f>Calculus!$L$4:$L$63</c:f>
              <c:numCache>
                <c:formatCode>0</c:formatCode>
                <c:ptCount val="60"/>
                <c:pt idx="0">
                  <c:v>51.835959586571128</c:v>
                </c:pt>
                <c:pt idx="1">
                  <c:v>51.099815492863875</c:v>
                </c:pt>
                <c:pt idx="2">
                  <c:v>50.449892270697944</c:v>
                </c:pt>
                <c:pt idx="3">
                  <c:v>49.875103039465095</c:v>
                </c:pt>
                <c:pt idx="4">
                  <c:v>49.366181539899053</c:v>
                </c:pt>
                <c:pt idx="5">
                  <c:v>48.915323223182455</c:v>
                </c:pt>
                <c:pt idx="6">
                  <c:v>48.515908020048045</c:v>
                </c:pt>
                <c:pt idx="7">
                  <c:v>48.162283899459638</c:v>
                </c:pt>
                <c:pt idx="8">
                  <c:v>47.849596212552861</c:v>
                </c:pt>
                <c:pt idx="9">
                  <c:v>47.57365190696126</c:v>
                </c:pt>
                <c:pt idx="10">
                  <c:v>47.330810573692197</c:v>
                </c:pt>
                <c:pt idx="11">
                  <c:v>47.117896336510334</c:v>
                </c:pt>
                <c:pt idx="12">
                  <c:v>46.932126077268251</c:v>
                </c:pt>
                <c:pt idx="13">
                  <c:v>46.771050569865629</c:v>
                </c:pt>
                <c:pt idx="14">
                  <c:v>46.632505890351759</c:v>
                </c:pt>
                <c:pt idx="15">
                  <c:v>46.514573072825087</c:v>
                </c:pt>
                <c:pt idx="16">
                  <c:v>46.415544422417881</c:v>
                </c:pt>
                <c:pt idx="17">
                  <c:v>46.333895237441702</c:v>
                </c:pt>
                <c:pt idx="18">
                  <c:v>46.268259953998289</c:v>
                </c:pt>
                <c:pt idx="19">
                  <c:v>46.217411928131973</c:v>
                </c:pt>
                <c:pt idx="20">
                  <c:v>46.180246222334603</c:v>
                </c:pt>
                <c:pt idx="21">
                  <c:v>46.155764889488474</c:v>
                </c:pt>
                <c:pt idx="22">
                  <c:v>46.143064340702928</c:v>
                </c:pt>
                <c:pt idx="23">
                  <c:v>46.141324463116014</c:v>
                </c:pt>
                <c:pt idx="24">
                  <c:v>46.14979920653451</c:v>
                </c:pt>
                <c:pt idx="25">
                  <c:v>46.167808417582421</c:v>
                </c:pt>
                <c:pt idx="26">
                  <c:v>46.194730729624787</c:v>
                </c:pt>
                <c:pt idx="27">
                  <c:v>46.229997354361792</c:v>
                </c:pt>
                <c:pt idx="28">
                  <c:v>46.273086642665945</c:v>
                </c:pt>
                <c:pt idx="29">
                  <c:v>46.323519307272569</c:v>
                </c:pt>
                <c:pt idx="30">
                  <c:v>46.380854214998465</c:v>
                </c:pt>
                <c:pt idx="31">
                  <c:v>46.444684669708337</c:v>
                </c:pt>
                <c:pt idx="32">
                  <c:v>46.514635121817491</c:v>
                </c:pt>
                <c:pt idx="33">
                  <c:v>46.590358247855903</c:v>
                </c:pt>
                <c:pt idx="34">
                  <c:v>46.671532352440195</c:v>
                </c:pt>
                <c:pt idx="35">
                  <c:v>46.757859051462773</c:v>
                </c:pt>
                <c:pt idx="36">
                  <c:v>46.849061202664878</c:v>
                </c:pt>
                <c:pt idx="37">
                  <c:v>46.944881051697259</c:v>
                </c:pt>
                <c:pt idx="38">
                  <c:v>47.045078570481174</c:v>
                </c:pt>
                <c:pt idx="39">
                  <c:v>47.14942996136093</c:v>
                </c:pt>
                <c:pt idx="40">
                  <c:v>47.257726311991711</c:v>
                </c:pt>
                <c:pt idx="41">
                  <c:v>47.36977238100939</c:v>
                </c:pt>
                <c:pt idx="42">
                  <c:v>47.485385500078721</c:v>
                </c:pt>
                <c:pt idx="43">
                  <c:v>47.604394580650904</c:v>
                </c:pt>
                <c:pt idx="44">
                  <c:v>47.726639213090849</c:v>
                </c:pt>
                <c:pt idx="45">
                  <c:v>47.851968848949497</c:v>
                </c:pt>
                <c:pt idx="46">
                  <c:v>47.980242056297655</c:v>
                </c:pt>
                <c:pt idx="47">
                  <c:v>48.111325842144545</c:v>
                </c:pt>
                <c:pt idx="48">
                  <c:v>48.245095034509532</c:v>
                </c:pt>
                <c:pt idx="49">
                  <c:v>48.381431717166393</c:v>
                </c:pt>
                <c:pt idx="50">
                  <c:v>48.520224713317475</c:v>
                </c:pt>
                <c:pt idx="51">
                  <c:v>48.661369112419344</c:v>
                </c:pt>
                <c:pt idx="52">
                  <c:v>48.804765836575797</c:v>
                </c:pt>
                <c:pt idx="53">
                  <c:v>48.950321241869077</c:v>
                </c:pt>
                <c:pt idx="54">
                  <c:v>49.097946752183844</c:v>
                </c:pt>
                <c:pt idx="55">
                  <c:v>49.247558522698519</c:v>
                </c:pt>
                <c:pt idx="56">
                  <c:v>49.399077128612817</c:v>
                </c:pt>
                <c:pt idx="57">
                  <c:v>49.552427279520032</c:v>
                </c:pt>
                <c:pt idx="58">
                  <c:v>49.707537554269976</c:v>
                </c:pt>
                <c:pt idx="59">
                  <c:v>49.864340157223211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89-428E-A040-B58C7B875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36848"/>
        <c:axId val="502541768"/>
      </c:scatterChart>
      <c:valAx>
        <c:axId val="502536848"/>
        <c:scaling>
          <c:orientation val="minMax"/>
          <c:max val="2020"/>
          <c:min val="19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Calendar year</a:t>
                </a:r>
              </a:p>
            </c:rich>
          </c:tx>
          <c:layout>
            <c:manualLayout>
              <c:xMode val="edge"/>
              <c:yMode val="edge"/>
              <c:x val="0.41289636928979162"/>
              <c:y val="0.905918065438872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2541768"/>
        <c:crosses val="autoZero"/>
        <c:crossBetween val="midCat"/>
      </c:valAx>
      <c:valAx>
        <c:axId val="50254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Decay time T in years</a:t>
                </a:r>
              </a:p>
            </c:rich>
          </c:tx>
          <c:layout>
            <c:manualLayout>
              <c:xMode val="edge"/>
              <c:yMode val="edge"/>
              <c:x val="2.6493510511578978E-2"/>
              <c:y val="0.39736491312783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25368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394824910147526"/>
          <c:y val="0.33429718735268954"/>
          <c:w val="0.14710394010178984"/>
          <c:h val="0.193171313674482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77978678591099"/>
          <c:y val="0.16474254715638478"/>
          <c:w val="0.72428000820885041"/>
          <c:h val="0.7074264645040429"/>
        </c:manualLayout>
      </c:layout>
      <c:scatterChart>
        <c:scatterStyle val="lineMarker"/>
        <c:varyColors val="0"/>
        <c:ser>
          <c:idx val="0"/>
          <c:order val="0"/>
          <c:tx>
            <c:v>C(t)-N(t)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1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Calculus!$A$4:$A$63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xVal>
          <c:yVal>
            <c:numRef>
              <c:f>Calculus!$R$4:$R$63</c:f>
              <c:numCache>
                <c:formatCode>0.00</c:formatCode>
                <c:ptCount val="60"/>
                <c:pt idx="0">
                  <c:v>-0.1310502586463258</c:v>
                </c:pt>
                <c:pt idx="1">
                  <c:v>-3.8140696268499141E-2</c:v>
                </c:pt>
                <c:pt idx="2">
                  <c:v>0.14387639742426472</c:v>
                </c:pt>
                <c:pt idx="3">
                  <c:v>2.4995758387888145E-2</c:v>
                </c:pt>
                <c:pt idx="4">
                  <c:v>-6.2026299594606371E-2</c:v>
                </c:pt>
                <c:pt idx="5">
                  <c:v>-0.41403089206465893</c:v>
                </c:pt>
                <c:pt idx="6">
                  <c:v>0.10415836754731345</c:v>
                </c:pt>
                <c:pt idx="7">
                  <c:v>1.0414985805653032E-2</c:v>
                </c:pt>
                <c:pt idx="8">
                  <c:v>-1.5467189032335682E-2</c:v>
                </c:pt>
                <c:pt idx="9">
                  <c:v>0.59028199892395605</c:v>
                </c:pt>
                <c:pt idx="10">
                  <c:v>0.58446500388009781</c:v>
                </c:pt>
                <c:pt idx="11">
                  <c:v>3.2972148185706374E-2</c:v>
                </c:pt>
                <c:pt idx="12">
                  <c:v>-8.3139261963935951E-2</c:v>
                </c:pt>
                <c:pt idx="13">
                  <c:v>0.83198728981727754</c:v>
                </c:pt>
                <c:pt idx="14">
                  <c:v>-6.8440326762072345E-2</c:v>
                </c:pt>
                <c:pt idx="15">
                  <c:v>-0.50325479997616185</c:v>
                </c:pt>
                <c:pt idx="16">
                  <c:v>-0.90980352464595171</c:v>
                </c:pt>
                <c:pt idx="17">
                  <c:v>-0.54651892578419847</c:v>
                </c:pt>
                <c:pt idx="18">
                  <c:v>-0.43931702428847075</c:v>
                </c:pt>
                <c:pt idx="19">
                  <c:v>-0.52080761526934793</c:v>
                </c:pt>
                <c:pt idx="20">
                  <c:v>-0.16877694024213952</c:v>
                </c:pt>
                <c:pt idx="21">
                  <c:v>-0.32567863243457396</c:v>
                </c:pt>
                <c:pt idx="22">
                  <c:v>-0.4066860044130749</c:v>
                </c:pt>
                <c:pt idx="23">
                  <c:v>-0.18316938880053613</c:v>
                </c:pt>
                <c:pt idx="24">
                  <c:v>4.3306217392910185E-2</c:v>
                </c:pt>
                <c:pt idx="25">
                  <c:v>9.490075125512476E-2</c:v>
                </c:pt>
                <c:pt idx="26">
                  <c:v>-8.5878550671907306E-2</c:v>
                </c:pt>
                <c:pt idx="27">
                  <c:v>0.19422693108589328</c:v>
                </c:pt>
                <c:pt idx="28">
                  <c:v>1.0272125357503796</c:v>
                </c:pt>
                <c:pt idx="29">
                  <c:v>0.95561228361441408</c:v>
                </c:pt>
                <c:pt idx="30">
                  <c:v>0.59199478055165855</c:v>
                </c:pt>
                <c:pt idx="31">
                  <c:v>0.14646070870372796</c:v>
                </c:pt>
                <c:pt idx="32">
                  <c:v>-0.70866900466404559</c:v>
                </c:pt>
                <c:pt idx="33">
                  <c:v>-1.6291751904502689</c:v>
                </c:pt>
                <c:pt idx="34">
                  <c:v>-1.4723852944314899</c:v>
                </c:pt>
                <c:pt idx="35">
                  <c:v>-1.0469020197509735</c:v>
                </c:pt>
                <c:pt idx="36">
                  <c:v>-0.85551042645664666</c:v>
                </c:pt>
                <c:pt idx="37">
                  <c:v>-1.3976217762506167</c:v>
                </c:pt>
                <c:pt idx="38">
                  <c:v>-7.6282501624916677E-2</c:v>
                </c:pt>
                <c:pt idx="39">
                  <c:v>-2.9598531731380717E-3</c:v>
                </c:pt>
                <c:pt idx="40">
                  <c:v>-0.44894569112176441</c:v>
                </c:pt>
                <c:pt idx="41">
                  <c:v>-0.53424174722988482</c:v>
                </c:pt>
                <c:pt idx="42">
                  <c:v>-6.5177376939800524E-2</c:v>
                </c:pt>
                <c:pt idx="43">
                  <c:v>0.74393552043085265</c:v>
                </c:pt>
                <c:pt idx="44">
                  <c:v>0.62486999888358241</c:v>
                </c:pt>
                <c:pt idx="45">
                  <c:v>0.93644972342900701</c:v>
                </c:pt>
                <c:pt idx="46">
                  <c:v>0.98209614256461464</c:v>
                </c:pt>
                <c:pt idx="47">
                  <c:v>0.73112772854426566</c:v>
                </c:pt>
                <c:pt idx="48">
                  <c:v>0.323900548938866</c:v>
                </c:pt>
                <c:pt idx="49">
                  <c:v>-0.11324789251500533</c:v>
                </c:pt>
                <c:pt idx="50">
                  <c:v>0.191260192331697</c:v>
                </c:pt>
                <c:pt idx="51">
                  <c:v>-0.39142278276534626</c:v>
                </c:pt>
                <c:pt idx="52">
                  <c:v>-0.62421719284429855</c:v>
                </c:pt>
                <c:pt idx="53">
                  <c:v>-0.40844069697715213</c:v>
                </c:pt>
                <c:pt idx="54">
                  <c:v>-0.70812783382189082</c:v>
                </c:pt>
                <c:pt idx="55">
                  <c:v>-0.94644582914816056</c:v>
                </c:pt>
                <c:pt idx="56">
                  <c:v>8.8667785140444266E-2</c:v>
                </c:pt>
                <c:pt idx="57">
                  <c:v>5.0079508517569593E-2</c:v>
                </c:pt>
                <c:pt idx="58">
                  <c:v>-0.33987260823272436</c:v>
                </c:pt>
                <c:pt idx="59">
                  <c:v>0.15650797970641861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DC-4D78-93EE-C8859673B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882808"/>
        <c:axId val="627883136"/>
        <c:extLst/>
      </c:scatterChart>
      <c:valAx>
        <c:axId val="627882808"/>
        <c:scaling>
          <c:orientation val="minMax"/>
          <c:max val="2020"/>
          <c:min val="19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Calendar year</a:t>
                </a:r>
              </a:p>
            </c:rich>
          </c:tx>
          <c:layout>
            <c:manualLayout>
              <c:xMode val="edge"/>
              <c:yMode val="edge"/>
              <c:x val="0.42167352537722907"/>
              <c:y val="0.943485112403541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7883136"/>
        <c:crosses val="autoZero"/>
        <c:crossBetween val="midCat"/>
      </c:valAx>
      <c:valAx>
        <c:axId val="627883136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Difference between C(t) and N(t) in ppm</a:t>
                </a:r>
              </a:p>
            </c:rich>
          </c:tx>
          <c:layout>
            <c:manualLayout>
              <c:xMode val="edge"/>
              <c:yMode val="edge"/>
              <c:x val="4.9582161365102982E-2"/>
              <c:y val="0.3192745010647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out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7882808"/>
        <c:crossesAt val="1960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901727098927451"/>
          <c:y val="0.50088656320229841"/>
          <c:w val="9.2382489225883796E-2"/>
          <c:h val="3.5001141881224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189885804188614E-2"/>
          <c:y val="0.15184446912709387"/>
          <c:w val="0.58493078399126763"/>
          <c:h val="0.675354881699235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Calculus!$W$2</c:f>
              <c:strCache>
                <c:ptCount val="1"/>
                <c:pt idx="0">
                  <c:v>N(t) "business as usual"; growth of the emissions @ 1,5 % per year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Calculus!$V$3:$V$64</c:f>
              <c:numCache>
                <c:formatCode>0</c:formatCode>
                <c:ptCount val="62"/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  <c:pt idx="52">
                  <c:v>2071</c:v>
                </c:pt>
                <c:pt idx="53">
                  <c:v>2072</c:v>
                </c:pt>
                <c:pt idx="54">
                  <c:v>2073</c:v>
                </c:pt>
                <c:pt idx="55">
                  <c:v>2074</c:v>
                </c:pt>
                <c:pt idx="56">
                  <c:v>2075</c:v>
                </c:pt>
                <c:pt idx="57">
                  <c:v>2076</c:v>
                </c:pt>
                <c:pt idx="58">
                  <c:v>2077</c:v>
                </c:pt>
                <c:pt idx="59">
                  <c:v>2078</c:v>
                </c:pt>
                <c:pt idx="60">
                  <c:v>2079</c:v>
                </c:pt>
                <c:pt idx="61">
                  <c:v>2080</c:v>
                </c:pt>
              </c:numCache>
            </c:numRef>
          </c:xVal>
          <c:yVal>
            <c:numRef>
              <c:f>Calculus!$W$3:$W$64</c:f>
              <c:numCache>
                <c:formatCode>General</c:formatCode>
                <c:ptCount val="62"/>
                <c:pt idx="1">
                  <c:v>413</c:v>
                </c:pt>
                <c:pt idx="2" formatCode="0">
                  <c:v>415.7198598130841</c:v>
                </c:pt>
                <c:pt idx="3" formatCode="0">
                  <c:v>418.46500612498903</c:v>
                </c:pt>
                <c:pt idx="4" formatCode="0">
                  <c:v>421.23610816587711</c:v>
                </c:pt>
                <c:pt idx="5" formatCode="0">
                  <c:v>424.03383978506048</c:v>
                </c:pt>
                <c:pt idx="6" formatCode="0">
                  <c:v>426.85887962158398</c:v>
                </c:pt>
                <c:pt idx="7" formatCode="0">
                  <c:v>429.7119112754732</c:v>
                </c:pt>
                <c:pt idx="8" formatCode="0">
                  <c:v>432.59362347969289</c:v>
                </c:pt>
                <c:pt idx="9" formatCode="0">
                  <c:v>435.5047102728621</c:v>
                </c:pt>
                <c:pt idx="10" formatCode="0">
                  <c:v>438.44587117277041</c:v>
                </c:pt>
                <c:pt idx="11" formatCode="0">
                  <c:v>441.41781135074154</c:v>
                </c:pt>
                <c:pt idx="12" formatCode="0">
                  <c:v>444.42124180688921</c:v>
                </c:pt>
                <c:pt idx="13" formatCode="0">
                  <c:v>447.45687954631109</c:v>
                </c:pt>
                <c:pt idx="14" formatCode="0">
                  <c:v>450.52544775626694</c:v>
                </c:pt>
                <c:pt idx="15" formatCode="0">
                  <c:v>453.62767598438592</c:v>
                </c:pt>
                <c:pt idx="16" formatCode="0">
                  <c:v>456.76430031794962</c:v>
                </c:pt>
                <c:pt idx="17" formatCode="0">
                  <c:v>459.93606356429626</c:v>
                </c:pt>
                <c:pt idx="18" formatCode="0">
                  <c:v>463.1437154323927</c:v>
                </c:pt>
                <c:pt idx="19" formatCode="0">
                  <c:v>466.38801271562028</c:v>
                </c:pt>
                <c:pt idx="20" formatCode="0">
                  <c:v>469.66971947582073</c:v>
                </c:pt>
                <c:pt idx="21" formatCode="0">
                  <c:v>472.98960722864911</c:v>
                </c:pt>
                <c:pt idx="22" formatCode="0">
                  <c:v>476.34845513028034</c:v>
                </c:pt>
                <c:pt idx="23" formatCode="0">
                  <c:v>479.74705016551644</c:v>
                </c:pt>
                <c:pt idx="24" formatCode="0">
                  <c:v>483.18618733734121</c:v>
                </c:pt>
                <c:pt idx="25" formatCode="0">
                  <c:v>486.66666985797059</c:v>
                </c:pt>
                <c:pt idx="26" formatCode="0">
                  <c:v>490.18930934144549</c:v>
                </c:pt>
                <c:pt idx="27" formatCode="0">
                  <c:v>493.75492599781541</c:v>
                </c:pt>
                <c:pt idx="28" formatCode="0">
                  <c:v>497.36434882896083</c:v>
                </c:pt>
                <c:pt idx="29" formatCode="0">
                  <c:v>501.0184158261028</c:v>
                </c:pt>
                <c:pt idx="30" formatCode="0">
                  <c:v>504.71797416904849</c:v>
                </c:pt>
                <c:pt idx="31" formatCode="0">
                  <c:v>508.46388042722151</c:v>
                </c:pt>
                <c:pt idx="32" formatCode="0">
                  <c:v>512.2570007625261</c:v>
                </c:pt>
                <c:pt idx="33" formatCode="0">
                  <c:v>516.09821113409589</c:v>
                </c:pt>
                <c:pt idx="34" formatCode="0">
                  <c:v>519.98839750497507</c:v>
                </c:pt>
                <c:pt idx="35" formatCode="0">
                  <c:v>523.92845605078446</c:v>
                </c:pt>
                <c:pt idx="36" formatCode="0">
                  <c:v>527.91929337042143</c:v>
                </c:pt>
                <c:pt idx="37" formatCode="0">
                  <c:v>531.96182669884604</c:v>
                </c:pt>
                <c:pt idx="38" formatCode="0">
                  <c:v>536.0569841220032</c:v>
                </c:pt>
                <c:pt idx="39" formatCode="0">
                  <c:v>540.20570479393427</c:v>
                </c:pt>
                <c:pt idx="40" formatCode="0">
                  <c:v>544.40893915612935</c:v>
                </c:pt>
                <c:pt idx="41" formatCode="0">
                  <c:v>548.66764915917258</c:v>
                </c:pt>
                <c:pt idx="42" formatCode="0">
                  <c:v>552.98280848673426</c:v>
                </c:pt>
                <c:pt idx="43" formatCode="0">
                  <c:v>557.35540278196322</c:v>
                </c:pt>
                <c:pt idx="44" formatCode="0">
                  <c:v>561.78642987633225</c:v>
                </c:pt>
                <c:pt idx="45" formatCode="0">
                  <c:v>566.27690002099257</c:v>
                </c:pt>
                <c:pt idx="46" formatCode="0">
                  <c:v>570.8278361206917</c:v>
                </c:pt>
                <c:pt idx="47" formatCode="0">
                  <c:v>575.44027397030914</c:v>
                </c:pt>
                <c:pt idx="48" formatCode="0">
                  <c:v>580.115262494067</c:v>
                </c:pt>
                <c:pt idx="49" formatCode="0">
                  <c:v>584.85386398747175</c:v>
                </c:pt>
                <c:pt idx="50" formatCode="0">
                  <c:v>589.65715436204403</c:v>
                </c:pt>
                <c:pt idx="51" formatCode="0">
                  <c:v>594.5262233928936</c:v>
                </c:pt>
                <c:pt idx="52" formatCode="0">
                  <c:v>599.46217496919803</c:v>
                </c:pt>
                <c:pt idx="53" formatCode="0">
                  <c:v>604.46612734764415</c:v>
                </c:pt>
                <c:pt idx="54" formatCode="0">
                  <c:v>609.53921340889008</c:v>
                </c:pt>
                <c:pt idx="55" formatCode="0">
                  <c:v>614.68258091711016</c:v>
                </c:pt>
                <c:pt idx="56" formatCode="0">
                  <c:v>619.89739278268087</c:v>
                </c:pt>
                <c:pt idx="57" formatCode="0">
                  <c:v>625.18482732807036</c:v>
                </c:pt>
                <c:pt idx="58" formatCode="0">
                  <c:v>630.54607855699317</c:v>
                </c:pt>
                <c:pt idx="59" formatCode="0">
                  <c:v>635.98235642689178</c:v>
                </c:pt>
                <c:pt idx="60" formatCode="0">
                  <c:v>641.49488712481002</c:v>
                </c:pt>
                <c:pt idx="61" formatCode="0">
                  <c:v>647.0849133467201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D1-489A-859C-9D0A55372714}"/>
            </c:ext>
          </c:extLst>
        </c:ser>
        <c:ser>
          <c:idx val="1"/>
          <c:order val="1"/>
          <c:tx>
            <c:strRef>
              <c:f>Calculus!$X$2</c:f>
              <c:strCache>
                <c:ptCount val="1"/>
                <c:pt idx="0">
                  <c:v>N(t) with B(t) is constant @ 5 ppm/y; MAX will be reached @ 555 ppm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Calculus!$V$3:$V$64</c:f>
              <c:numCache>
                <c:formatCode>0</c:formatCode>
                <c:ptCount val="62"/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  <c:pt idx="52">
                  <c:v>2071</c:v>
                </c:pt>
                <c:pt idx="53">
                  <c:v>2072</c:v>
                </c:pt>
                <c:pt idx="54">
                  <c:v>2073</c:v>
                </c:pt>
                <c:pt idx="55">
                  <c:v>2074</c:v>
                </c:pt>
                <c:pt idx="56">
                  <c:v>2075</c:v>
                </c:pt>
                <c:pt idx="57">
                  <c:v>2076</c:v>
                </c:pt>
                <c:pt idx="58">
                  <c:v>2077</c:v>
                </c:pt>
                <c:pt idx="59">
                  <c:v>2078</c:v>
                </c:pt>
                <c:pt idx="60">
                  <c:v>2079</c:v>
                </c:pt>
                <c:pt idx="61">
                  <c:v>2080</c:v>
                </c:pt>
              </c:numCache>
            </c:numRef>
          </c:xVal>
          <c:yVal>
            <c:numRef>
              <c:f>Calculus!$X$3:$X$64</c:f>
              <c:numCache>
                <c:formatCode>General</c:formatCode>
                <c:ptCount val="62"/>
                <c:pt idx="1">
                  <c:v>413</c:v>
                </c:pt>
                <c:pt idx="2" formatCode="0">
                  <c:v>415.64485981308411</c:v>
                </c:pt>
                <c:pt idx="3" formatCode="0">
                  <c:v>418.24028299414795</c:v>
                </c:pt>
                <c:pt idx="4" formatCode="0">
                  <c:v>420.78719359238818</c:v>
                </c:pt>
                <c:pt idx="5" formatCode="0">
                  <c:v>423.28649838505385</c:v>
                </c:pt>
                <c:pt idx="6" formatCode="0">
                  <c:v>425.73908720028646</c:v>
                </c:pt>
                <c:pt idx="7" formatCode="0">
                  <c:v>428.14583323392594</c:v>
                </c:pt>
                <c:pt idx="8" formatCode="0">
                  <c:v>430.50759336039459</c:v>
                </c:pt>
                <c:pt idx="9" formatCode="0">
                  <c:v>432.82520843777041</c:v>
                </c:pt>
                <c:pt idx="10" formatCode="0">
                  <c:v>435.09950360715789</c:v>
                </c:pt>
                <c:pt idx="11" formatCode="0">
                  <c:v>437.33128858646336</c:v>
                </c:pt>
                <c:pt idx="12" formatCode="0">
                  <c:v>439.521357958679</c:v>
                </c:pt>
                <c:pt idx="13" formatCode="0">
                  <c:v>441.67049145477847</c:v>
                </c:pt>
                <c:pt idx="14" formatCode="0">
                  <c:v>443.77945423132468</c:v>
                </c:pt>
                <c:pt idx="15" formatCode="0">
                  <c:v>445.84899714288872</c:v>
                </c:pt>
                <c:pt idx="16" formatCode="0">
                  <c:v>447.87985700937679</c:v>
                </c:pt>
                <c:pt idx="17" formatCode="0">
                  <c:v>449.87275687836041</c:v>
                </c:pt>
                <c:pt idx="18" formatCode="0">
                  <c:v>451.82840628250318</c:v>
                </c:pt>
                <c:pt idx="19" formatCode="0">
                  <c:v>453.74750149217601</c:v>
                </c:pt>
                <c:pt idx="20" formatCode="0">
                  <c:v>455.63072576335031</c:v>
                </c:pt>
                <c:pt idx="21" formatCode="0">
                  <c:v>457.47874958085777</c:v>
                </c:pt>
                <c:pt idx="22" formatCode="0">
                  <c:v>459.29223089710342</c:v>
                </c:pt>
                <c:pt idx="23" formatCode="0">
                  <c:v>461.07181536631646</c:v>
                </c:pt>
                <c:pt idx="24" formatCode="0">
                  <c:v>462.81813657442268</c:v>
                </c:pt>
                <c:pt idx="25" formatCode="0">
                  <c:v>464.53181626462037</c:v>
                </c:pt>
                <c:pt idx="26" formatCode="0">
                  <c:v>466.21346455873964</c:v>
                </c:pt>
                <c:pt idx="27" formatCode="0">
                  <c:v>467.86368017446415</c:v>
                </c:pt>
                <c:pt idx="28" formatCode="0">
                  <c:v>469.48305063849284</c:v>
                </c:pt>
                <c:pt idx="29" formatCode="0">
                  <c:v>471.07215249571726</c:v>
                </c:pt>
                <c:pt idx="30" formatCode="0">
                  <c:v>472.63155151448888</c:v>
                </c:pt>
                <c:pt idx="31" formatCode="0">
                  <c:v>474.16180288804981</c:v>
                </c:pt>
                <c:pt idx="32" formatCode="0">
                  <c:v>475.66345143219843</c:v>
                </c:pt>
                <c:pt idx="33" formatCode="0">
                  <c:v>477.13703177926016</c:v>
                </c:pt>
                <c:pt idx="34" formatCode="0">
                  <c:v>478.58306856843285</c:v>
                </c:pt>
                <c:pt idx="35" formatCode="0">
                  <c:v>480.0020766325743</c:v>
                </c:pt>
                <c:pt idx="36" formatCode="0">
                  <c:v>481.39456118149815</c:v>
                </c:pt>
                <c:pt idx="37" formatCode="0">
                  <c:v>482.76101798184396</c:v>
                </c:pt>
                <c:pt idx="38" formatCode="0">
                  <c:v>484.10193353358522</c:v>
                </c:pt>
                <c:pt idx="39" formatCode="0">
                  <c:v>485.41778524323786</c:v>
                </c:pt>
                <c:pt idx="40" formatCode="0">
                  <c:v>486.70904159383156</c:v>
                </c:pt>
                <c:pt idx="41" formatCode="0">
                  <c:v>487.97616231170389</c:v>
                </c:pt>
                <c:pt idx="42" formatCode="0">
                  <c:v>489.21959853017671</c:v>
                </c:pt>
                <c:pt idx="43" formatCode="0">
                  <c:v>490.4397929501734</c:v>
                </c:pt>
                <c:pt idx="44" formatCode="0">
                  <c:v>491.6371799978337</c:v>
                </c:pt>
                <c:pt idx="45" formatCode="0">
                  <c:v>492.81218597918257</c:v>
                </c:pt>
                <c:pt idx="46" formatCode="0">
                  <c:v>493.96522923190815</c:v>
                </c:pt>
                <c:pt idx="47" formatCode="0">
                  <c:v>495.09672027430241</c:v>
                </c:pt>
                <c:pt idx="48" formatCode="0">
                  <c:v>496.20706195141827</c:v>
                </c:pt>
                <c:pt idx="49" formatCode="0">
                  <c:v>497.29664957849457</c:v>
                </c:pt>
                <c:pt idx="50" formatCode="0">
                  <c:v>498.36587108170028</c:v>
                </c:pt>
                <c:pt idx="51" formatCode="0">
                  <c:v>499.41510713624791</c:v>
                </c:pt>
                <c:pt idx="52" formatCode="0">
                  <c:v>500.44473130192551</c:v>
                </c:pt>
                <c:pt idx="53" formatCode="0">
                  <c:v>501.45511015609515</c:v>
                </c:pt>
                <c:pt idx="54" formatCode="0">
                  <c:v>502.44660342420553</c:v>
                </c:pt>
                <c:pt idx="55" formatCode="0">
                  <c:v>503.41956410786526</c:v>
                </c:pt>
                <c:pt idx="56" formatCode="0">
                  <c:v>504.37433861052199</c:v>
                </c:pt>
                <c:pt idx="57" formatCode="0">
                  <c:v>505.31126686079261</c:v>
                </c:pt>
                <c:pt idx="58" formatCode="0">
                  <c:v>506.23068243348808</c:v>
                </c:pt>
                <c:pt idx="59" formatCode="0">
                  <c:v>507.13291266837615</c:v>
                </c:pt>
                <c:pt idx="60" formatCode="0">
                  <c:v>508.01827878672418</c:v>
                </c:pt>
                <c:pt idx="61" formatCode="0">
                  <c:v>508.88709600566392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D1-489A-859C-9D0A55372714}"/>
            </c:ext>
          </c:extLst>
        </c:ser>
        <c:ser>
          <c:idx val="2"/>
          <c:order val="2"/>
          <c:tx>
            <c:strRef>
              <c:f>Calculus!$Y$2</c:f>
              <c:strCache>
                <c:ptCount val="1"/>
                <c:pt idx="0">
                  <c:v>N(t) with an annual reduction of 1.5% on fossil fuel emissions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Calculus!$V$3:$V$64</c:f>
              <c:numCache>
                <c:formatCode>0</c:formatCode>
                <c:ptCount val="62"/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  <c:pt idx="52">
                  <c:v>2071</c:v>
                </c:pt>
                <c:pt idx="53">
                  <c:v>2072</c:v>
                </c:pt>
                <c:pt idx="54">
                  <c:v>2073</c:v>
                </c:pt>
                <c:pt idx="55">
                  <c:v>2074</c:v>
                </c:pt>
                <c:pt idx="56">
                  <c:v>2075</c:v>
                </c:pt>
                <c:pt idx="57">
                  <c:v>2076</c:v>
                </c:pt>
                <c:pt idx="58">
                  <c:v>2077</c:v>
                </c:pt>
                <c:pt idx="59">
                  <c:v>2078</c:v>
                </c:pt>
                <c:pt idx="60">
                  <c:v>2079</c:v>
                </c:pt>
                <c:pt idx="61">
                  <c:v>2080</c:v>
                </c:pt>
              </c:numCache>
            </c:numRef>
          </c:xVal>
          <c:yVal>
            <c:numRef>
              <c:f>Calculus!$Y$3:$Y$64</c:f>
              <c:numCache>
                <c:formatCode>General</c:formatCode>
                <c:ptCount val="62"/>
                <c:pt idx="1">
                  <c:v>413</c:v>
                </c:pt>
                <c:pt idx="2" formatCode="0">
                  <c:v>415.56985981308412</c:v>
                </c:pt>
                <c:pt idx="3" formatCode="0">
                  <c:v>418.01780986330687</c:v>
                </c:pt>
                <c:pt idx="4" formatCode="0">
                  <c:v>420.34723696282452</c:v>
                </c:pt>
                <c:pt idx="5" formatCode="0">
                  <c:v>422.56144799701821</c:v>
                </c:pt>
                <c:pt idx="6" formatCode="0">
                  <c:v>424.66367166778059</c:v>
                </c:pt>
                <c:pt idx="7" formatCode="0">
                  <c:v>426.65706020047747</c:v>
                </c:pt>
                <c:pt idx="8" formatCode="0">
                  <c:v>428.54469101532004</c:v>
                </c:pt>
                <c:pt idx="9" formatCode="0">
                  <c:v>430.32956836386802</c:v>
                </c:pt>
                <c:pt idx="10" formatCode="0">
                  <c:v>432.0146249313695</c:v>
                </c:pt>
                <c:pt idx="11" formatCode="0">
                  <c:v>433.60272340563023</c:v>
                </c:pt>
                <c:pt idx="12" formatCode="0">
                  <c:v>435.09665801309052</c:v>
                </c:pt>
                <c:pt idx="13" formatCode="0">
                  <c:v>436.49915602277451</c:v>
                </c:pt>
                <c:pt idx="14" formatCode="0">
                  <c:v>437.81287921876412</c:v>
                </c:pt>
                <c:pt idx="15" formatCode="0">
                  <c:v>439.04042534183571</c:v>
                </c:pt>
                <c:pt idx="16" formatCode="0">
                  <c:v>440.18432950088641</c:v>
                </c:pt>
                <c:pt idx="17" formatCode="0">
                  <c:v>441.24706555476297</c:v>
                </c:pt>
                <c:pt idx="18" formatCode="0">
                  <c:v>442.23104746509506</c:v>
                </c:pt>
                <c:pt idx="19" formatCode="0">
                  <c:v>443.13863062072261</c:v>
                </c:pt>
                <c:pt idx="20" formatCode="0">
                  <c:v>443.97211313429415</c:v>
                </c:pt>
                <c:pt idx="21" formatCode="0">
                  <c:v>444.73373711160355</c:v>
                </c:pt>
                <c:pt idx="22" formatCode="0">
                  <c:v>445.42568989421926</c:v>
                </c:pt>
                <c:pt idx="23" formatCode="0">
                  <c:v>446.05010527595016</c:v>
                </c:pt>
                <c:pt idx="24" formatCode="0">
                  <c:v>446.60906469368138</c:v>
                </c:pt>
                <c:pt idx="25" formatCode="0">
                  <c:v>447.10459839310226</c:v>
                </c:pt>
                <c:pt idx="26" formatCode="0">
                  <c:v>447.53868656983889</c:v>
                </c:pt>
                <c:pt idx="27" formatCode="0">
                  <c:v>447.91326048649205</c:v>
                </c:pt>
                <c:pt idx="28" formatCode="0">
                  <c:v>448.2302035660739</c:v>
                </c:pt>
                <c:pt idx="29" formatCode="0">
                  <c:v>448.49135246232407</c:v>
                </c:pt>
                <c:pt idx="30" formatCode="0">
                  <c:v>448.69849810737838</c:v>
                </c:pt>
                <c:pt idx="31" formatCode="0">
                  <c:v>448.85338673725232</c:v>
                </c:pt>
                <c:pt idx="32" formatCode="0">
                  <c:v>448.95772089559432</c:v>
                </c:pt>
                <c:pt idx="33" formatCode="0">
                  <c:v>449.01316041615189</c:v>
                </c:pt>
                <c:pt idx="34" formatCode="0">
                  <c:v>449.02132338438719</c:v>
                </c:pt>
                <c:pt idx="35" formatCode="0">
                  <c:v>448.98378707866948</c:v>
                </c:pt>
                <c:pt idx="36" formatCode="0">
                  <c:v>448.90208889146186</c:v>
                </c:pt>
                <c:pt idx="37" formatCode="0">
                  <c:v>448.77772723091334</c:v>
                </c:pt>
                <c:pt idx="38" formatCode="0">
                  <c:v>448.61216240325768</c:v>
                </c:pt>
                <c:pt idx="39" formatCode="0">
                  <c:v>448.40681747641293</c:v>
                </c:pt>
                <c:pt idx="40" formatCode="0">
                  <c:v>448.163079125168</c:v>
                </c:pt>
                <c:pt idx="41" formatCode="0">
                  <c:v>447.88229845833376</c:v>
                </c:pt>
                <c:pt idx="42" formatCode="0">
                  <c:v>447.5657918282302</c:v>
                </c:pt>
                <c:pt idx="43" formatCode="0">
                  <c:v>447.21484162287226</c:v>
                </c:pt>
                <c:pt idx="44" formatCode="0">
                  <c:v>446.83069704121021</c:v>
                </c:pt>
                <c:pt idx="45" formatCode="0">
                  <c:v>446.41457485177443</c:v>
                </c:pt>
                <c:pt idx="46" formatCode="0">
                  <c:v>445.96766013506459</c:v>
                </c:pt>
                <c:pt idx="47" formatCode="0">
                  <c:v>445.49110701002007</c:v>
                </c:pt>
                <c:pt idx="48" formatCode="0">
                  <c:v>444.9860393448983</c:v>
                </c:pt>
                <c:pt idx="49" formatCode="0">
                  <c:v>444.45355145288363</c:v>
                </c:pt>
                <c:pt idx="50" formatCode="0">
                  <c:v>443.89470877274152</c:v>
                </c:pt>
                <c:pt idx="51" formatCode="0">
                  <c:v>443.31054853482681</c:v>
                </c:pt>
                <c:pt idx="52" formatCode="0">
                  <c:v>442.70208041274856</c:v>
                </c:pt>
                <c:pt idx="53" formatCode="0">
                  <c:v>442.07028716098847</c:v>
                </c:pt>
                <c:pt idx="54" formatCode="0">
                  <c:v>441.41612523876307</c:v>
                </c:pt>
                <c:pt idx="55" formatCode="0">
                  <c:v>440.74052542041426</c:v>
                </c:pt>
                <c:pt idx="56" formatCode="0">
                  <c:v>440.04439339260733</c:v>
                </c:pt>
                <c:pt idx="57" formatCode="0">
                  <c:v>439.32861033861008</c:v>
                </c:pt>
                <c:pt idx="58" formatCode="0">
                  <c:v>438.59403350992011</c:v>
                </c:pt>
                <c:pt idx="59" formatCode="0">
                  <c:v>437.84149678550364</c:v>
                </c:pt>
                <c:pt idx="60" formatCode="0">
                  <c:v>437.07181121890238</c:v>
                </c:pt>
                <c:pt idx="61" formatCode="0">
                  <c:v>436.28576557346031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D1-489A-859C-9D0A55372714}"/>
            </c:ext>
          </c:extLst>
        </c:ser>
        <c:ser>
          <c:idx val="6"/>
          <c:order val="3"/>
          <c:tx>
            <c:strRef>
              <c:f>Calculus!$Z$2</c:f>
              <c:strCache>
                <c:ptCount val="1"/>
                <c:pt idx="0">
                  <c:v>Immediate ban on all CO2 emissions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Calculus!$V$4:$V$64</c:f>
              <c:numCache>
                <c:formatCode>0</c:formatCode>
                <c:ptCount val="6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</c:numCache>
            </c:numRef>
          </c:xVal>
          <c:yVal>
            <c:numRef>
              <c:f>Calculus!$Z$4:$Z$64</c:f>
              <c:numCache>
                <c:formatCode>0</c:formatCode>
                <c:ptCount val="61"/>
                <c:pt idx="0" formatCode="General">
                  <c:v>413</c:v>
                </c:pt>
                <c:pt idx="1">
                  <c:v>410.64485981308411</c:v>
                </c:pt>
                <c:pt idx="2">
                  <c:v>408.33374093807322</c:v>
                </c:pt>
                <c:pt idx="3">
                  <c:v>406.06582054670736</c:v>
                </c:pt>
                <c:pt idx="4">
                  <c:v>403.84029119069413</c:v>
                </c:pt>
                <c:pt idx="5">
                  <c:v>401.65636051423257</c:v>
                </c:pt>
                <c:pt idx="6">
                  <c:v>399.51325097191045</c:v>
                </c:pt>
                <c:pt idx="7">
                  <c:v>397.41019955187477</c:v>
                </c:pt>
                <c:pt idx="8">
                  <c:v>395.34645750417616</c:v>
                </c:pt>
                <c:pt idx="9">
                  <c:v>393.32129007419155</c:v>
                </c:pt>
                <c:pt idx="10">
                  <c:v>391.33397624102912</c:v>
                </c:pt>
                <c:pt idx="11">
                  <c:v>389.38380846082299</c:v>
                </c:pt>
                <c:pt idx="12">
                  <c:v>387.4700924148263</c:v>
                </c:pt>
                <c:pt idx="13">
                  <c:v>385.59214676221274</c:v>
                </c:pt>
                <c:pt idx="14">
                  <c:v>383.74930289749847</c:v>
                </c:pt>
                <c:pt idx="15">
                  <c:v>381.94090471249848</c:v>
                </c:pt>
                <c:pt idx="16">
                  <c:v>380.16630836273214</c:v>
                </c:pt>
                <c:pt idx="17">
                  <c:v>378.42488203819511</c:v>
                </c:pt>
                <c:pt idx="18">
                  <c:v>376.71600573841579</c:v>
                </c:pt>
                <c:pt idx="19">
                  <c:v>375.03907105171641</c:v>
                </c:pt>
                <c:pt idx="20">
                  <c:v>373.39348093860019</c:v>
                </c:pt>
                <c:pt idx="21">
                  <c:v>371.77864951918713</c:v>
                </c:pt>
                <c:pt idx="22">
                  <c:v>370.19400186462286</c:v>
                </c:pt>
                <c:pt idx="23">
                  <c:v>368.63897379238693</c:v>
                </c:pt>
                <c:pt idx="24">
                  <c:v>367.11301166542643</c:v>
                </c:pt>
                <c:pt idx="25">
                  <c:v>365.61557219504465</c:v>
                </c:pt>
                <c:pt idx="26">
                  <c:v>364.14612224747373</c:v>
                </c:pt>
                <c:pt idx="27">
                  <c:v>362.704138654063</c:v>
                </c:pt>
                <c:pt idx="28">
                  <c:v>361.28910802501508</c:v>
                </c:pt>
                <c:pt idx="29">
                  <c:v>359.90052656660356</c:v>
                </c:pt>
                <c:pt idx="30">
                  <c:v>358.53789990180724</c:v>
                </c:pt>
                <c:pt idx="31">
                  <c:v>357.20074289429681</c:v>
                </c:pt>
                <c:pt idx="32">
                  <c:v>355.88857947571182</c:v>
                </c:pt>
                <c:pt idx="33">
                  <c:v>354.60094247616581</c:v>
                </c:pt>
                <c:pt idx="34">
                  <c:v>353.33737345791974</c:v>
                </c:pt>
                <c:pt idx="35">
                  <c:v>352.09742255216423</c:v>
                </c:pt>
                <c:pt idx="36">
                  <c:v>350.88064829885275</c:v>
                </c:pt>
                <c:pt idx="37">
                  <c:v>349.68661748952837</c:v>
                </c:pt>
                <c:pt idx="38">
                  <c:v>348.51490501308859</c:v>
                </c:pt>
                <c:pt idx="39">
                  <c:v>347.36509370443275</c:v>
                </c:pt>
                <c:pt idx="40">
                  <c:v>346.23677419593866</c:v>
                </c:pt>
                <c:pt idx="41">
                  <c:v>345.12954477171553</c:v>
                </c:pt>
                <c:pt idx="42">
                  <c:v>344.04301122458065</c:v>
                </c:pt>
                <c:pt idx="43">
                  <c:v>342.97678671570998</c:v>
                </c:pt>
                <c:pt idx="44">
                  <c:v>341.93049163691165</c:v>
                </c:pt>
                <c:pt idx="45">
                  <c:v>340.90375347547405</c:v>
                </c:pt>
                <c:pt idx="46">
                  <c:v>339.89620668153998</c:v>
                </c:pt>
                <c:pt idx="47">
                  <c:v>338.9074925379598</c:v>
                </c:pt>
                <c:pt idx="48">
                  <c:v>337.93725903257734</c:v>
                </c:pt>
                <c:pt idx="49">
                  <c:v>336.98516073290301</c:v>
                </c:pt>
                <c:pt idx="50">
                  <c:v>336.05085866312913</c:v>
                </c:pt>
                <c:pt idx="51">
                  <c:v>335.13402018344448</c:v>
                </c:pt>
                <c:pt idx="52">
                  <c:v>334.23431887160439</c:v>
                </c:pt>
                <c:pt idx="53">
                  <c:v>333.35143440671459</c:v>
                </c:pt>
                <c:pt idx="54">
                  <c:v>332.4850524551872</c:v>
                </c:pt>
                <c:pt idx="55">
                  <c:v>331.63486455882855</c:v>
                </c:pt>
                <c:pt idx="56">
                  <c:v>330.80056802501866</c:v>
                </c:pt>
                <c:pt idx="57">
                  <c:v>329.98186581894356</c:v>
                </c:pt>
                <c:pt idx="58">
                  <c:v>329.17846645784181</c:v>
                </c:pt>
                <c:pt idx="59">
                  <c:v>328.39008390722796</c:v>
                </c:pt>
                <c:pt idx="60">
                  <c:v>327.61643747905549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EF-4630-B380-CA569FE2B84E}"/>
            </c:ext>
          </c:extLst>
        </c:ser>
        <c:ser>
          <c:idx val="8"/>
          <c:order val="4"/>
          <c:tx>
            <c:v>Historc Mauna Loa data  N(t)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Calculus!$A$44:$A$64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Calculus!$B$44:$B$64</c:f>
              <c:numCache>
                <c:formatCode>General</c:formatCode>
                <c:ptCount val="21"/>
                <c:pt idx="0">
                  <c:v>369.55</c:v>
                </c:pt>
                <c:pt idx="1">
                  <c:v>371.14</c:v>
                </c:pt>
                <c:pt idx="2">
                  <c:v>373.28</c:v>
                </c:pt>
                <c:pt idx="3">
                  <c:v>375.8</c:v>
                </c:pt>
                <c:pt idx="4">
                  <c:v>377.52</c:v>
                </c:pt>
                <c:pt idx="5">
                  <c:v>379.8</c:v>
                </c:pt>
                <c:pt idx="6">
                  <c:v>381.9</c:v>
                </c:pt>
                <c:pt idx="7">
                  <c:v>383.79</c:v>
                </c:pt>
                <c:pt idx="8">
                  <c:v>385.6</c:v>
                </c:pt>
                <c:pt idx="9">
                  <c:v>387.43</c:v>
                </c:pt>
                <c:pt idx="10">
                  <c:v>389.9</c:v>
                </c:pt>
                <c:pt idx="11">
                  <c:v>391.65</c:v>
                </c:pt>
                <c:pt idx="12">
                  <c:v>393.85</c:v>
                </c:pt>
                <c:pt idx="13">
                  <c:v>396.52</c:v>
                </c:pt>
                <c:pt idx="14">
                  <c:v>398.65</c:v>
                </c:pt>
                <c:pt idx="15">
                  <c:v>400.83</c:v>
                </c:pt>
                <c:pt idx="16">
                  <c:v>404.24</c:v>
                </c:pt>
                <c:pt idx="17">
                  <c:v>406.55</c:v>
                </c:pt>
                <c:pt idx="18">
                  <c:v>408.52</c:v>
                </c:pt>
                <c:pt idx="19" formatCode="0.00">
                  <c:v>411.43</c:v>
                </c:pt>
                <c:pt idx="20" formatCode="0.00">
                  <c:v>413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DD-41D7-AA33-17852DDEC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888536"/>
        <c:axId val="563880336"/>
      </c:scatterChart>
      <c:scatterChart>
        <c:scatterStyle val="smoothMarker"/>
        <c:varyColors val="0"/>
        <c:ser>
          <c:idx val="3"/>
          <c:order val="5"/>
          <c:tx>
            <c:strRef>
              <c:f>Calculus!$AB$2</c:f>
              <c:strCache>
                <c:ptCount val="1"/>
                <c:pt idx="0">
                  <c:v>ΔTs for "business as usual"; growth of the emissions @ 1,5 % per year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Calculus!$V$3:$V$64</c:f>
              <c:numCache>
                <c:formatCode>0</c:formatCode>
                <c:ptCount val="62"/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  <c:pt idx="52">
                  <c:v>2071</c:v>
                </c:pt>
                <c:pt idx="53">
                  <c:v>2072</c:v>
                </c:pt>
                <c:pt idx="54">
                  <c:v>2073</c:v>
                </c:pt>
                <c:pt idx="55">
                  <c:v>2074</c:v>
                </c:pt>
                <c:pt idx="56">
                  <c:v>2075</c:v>
                </c:pt>
                <c:pt idx="57">
                  <c:v>2076</c:v>
                </c:pt>
                <c:pt idx="58">
                  <c:v>2077</c:v>
                </c:pt>
                <c:pt idx="59">
                  <c:v>2078</c:v>
                </c:pt>
                <c:pt idx="60">
                  <c:v>2079</c:v>
                </c:pt>
                <c:pt idx="61">
                  <c:v>2080</c:v>
                </c:pt>
              </c:numCache>
            </c:numRef>
          </c:xVal>
          <c:yVal>
            <c:numRef>
              <c:f>Calculus!$AB$3:$AB$64</c:f>
              <c:numCache>
                <c:formatCode>0.00</c:formatCode>
                <c:ptCount val="62"/>
                <c:pt idx="1">
                  <c:v>0</c:v>
                </c:pt>
                <c:pt idx="2">
                  <c:v>1.8939777087684594E-2</c:v>
                </c:pt>
                <c:pt idx="3">
                  <c:v>3.7930403404975686E-2</c:v>
                </c:pt>
                <c:pt idx="4">
                  <c:v>5.6974654352754721E-2</c:v>
                </c:pt>
                <c:pt idx="5">
                  <c:v>7.6075242428987278E-2</c:v>
                </c:pt>
                <c:pt idx="6">
                  <c:v>9.5234818460013596E-2</c:v>
                </c:pt>
                <c:pt idx="7">
                  <c:v>0.11445597278152946</c:v>
                </c:pt>
                <c:pt idx="8">
                  <c:v>0.13374123637171417</c:v>
                </c:pt>
                <c:pt idx="9">
                  <c:v>0.15309308193886315</c:v>
                </c:pt>
                <c:pt idx="10">
                  <c:v>0.17251392496576323</c:v>
                </c:pt>
                <c:pt idx="11">
                  <c:v>0.19200612471295009</c:v>
                </c:pt>
                <c:pt idx="12">
                  <c:v>0.21157198518290055</c:v>
                </c:pt>
                <c:pt idx="13">
                  <c:v>0.23121375604710798</c:v>
                </c:pt>
                <c:pt idx="14">
                  <c:v>0.25093363353792586</c:v>
                </c:pt>
                <c:pt idx="15">
                  <c:v>0.2707337613069517</c:v>
                </c:pt>
                <c:pt idx="16">
                  <c:v>0.29061623125168284</c:v>
                </c:pt>
                <c:pt idx="17">
                  <c:v>0.31058308431206511</c:v>
                </c:pt>
                <c:pt idx="18">
                  <c:v>0.33063631123851928</c:v>
                </c:pt>
                <c:pt idx="19">
                  <c:v>0.3507778533329397</c:v>
                </c:pt>
                <c:pt idx="20">
                  <c:v>0.37100960316410408</c:v>
                </c:pt>
                <c:pt idx="21">
                  <c:v>0.39133340525887889</c:v>
                </c:pt>
                <c:pt idx="22">
                  <c:v>0.41175105677053503</c:v>
                </c:pt>
                <c:pt idx="23">
                  <c:v>0.43226430812544148</c:v>
                </c:pt>
                <c:pt idx="24">
                  <c:v>0.45287486364934876</c:v>
                </c:pt>
                <c:pt idx="25">
                  <c:v>0.47358438217442589</c:v>
                </c:pt>
                <c:pt idx="26">
                  <c:v>0.4943944776281623</c:v>
                </c:pt>
                <c:pt idx="27">
                  <c:v>0.51530671960519669</c:v>
                </c:pt>
                <c:pt idx="28">
                  <c:v>0.53632263392310431</c:v>
                </c:pt>
                <c:pt idx="29">
                  <c:v>0.55744370316310909</c:v>
                </c:pt>
                <c:pt idx="30">
                  <c:v>0.57867136719666812</c:v>
                </c:pt>
                <c:pt idx="31">
                  <c:v>0.60000702369881942</c:v>
                </c:pt>
                <c:pt idx="32">
                  <c:v>0.62145202864914828</c:v>
                </c:pt>
                <c:pt idx="33">
                  <c:v>0.64300769682121051</c:v>
                </c:pt>
                <c:pt idx="34">
                  <c:v>0.66467530226117211</c:v>
                </c:pt>
                <c:pt idx="35">
                  <c:v>0.6864560787564411</c:v>
                </c:pt>
                <c:pt idx="36">
                  <c:v>0.70835122029499531</c:v>
                </c:pt>
                <c:pt idx="37">
                  <c:v>0.73036188151609627</c:v>
                </c:pt>
                <c:pt idx="38">
                  <c:v>0.7524891781530435</c:v>
                </c:pt>
                <c:pt idx="39">
                  <c:v>0.77473418746859324</c:v>
                </c:pt>
                <c:pt idx="40">
                  <c:v>0.79709794868363681</c:v>
                </c:pt>
                <c:pt idx="41">
                  <c:v>0.81958146339970406</c:v>
                </c:pt>
                <c:pt idx="42">
                  <c:v>0.8421856960158306</c:v>
                </c:pt>
                <c:pt idx="43">
                  <c:v>0.86491157414030706</c:v>
                </c:pt>
                <c:pt idx="44">
                  <c:v>0.88775998899778363</c:v>
                </c:pt>
                <c:pt idx="45">
                  <c:v>0.91073179583220576</c:v>
                </c:pt>
                <c:pt idx="46">
                  <c:v>0.93382781430601391</c:v>
                </c:pt>
                <c:pt idx="47">
                  <c:v>0.95704882889600917</c:v>
                </c:pt>
                <c:pt idx="48">
                  <c:v>0.98039558928628834</c:v>
                </c:pt>
                <c:pt idx="49">
                  <c:v>1.0038688107586138</c:v>
                </c:pt>
                <c:pt idx="50">
                  <c:v>1.0274691745805573</c:v>
                </c:pt>
                <c:pt idx="51">
                  <c:v>1.0511973283917473</c:v>
                </c:pt>
                <c:pt idx="52">
                  <c:v>1.0750538865885251</c:v>
                </c:pt>
                <c:pt idx="53">
                  <c:v>1.0990394307072873</c:v>
                </c:pt>
                <c:pt idx="54">
                  <c:v>1.1231545098067885</c:v>
                </c:pt>
                <c:pt idx="55">
                  <c:v>1.1473996408496419</c:v>
                </c:pt>
                <c:pt idx="56">
                  <c:v>1.1717753090832488</c:v>
                </c:pt>
                <c:pt idx="57">
                  <c:v>1.1962819684203663</c:v>
                </c:pt>
                <c:pt idx="58">
                  <c:v>1.2209200418195083</c:v>
                </c:pt>
                <c:pt idx="59">
                  <c:v>1.2456899216653452</c:v>
                </c:pt>
                <c:pt idx="60">
                  <c:v>1.2705919701492763</c:v>
                </c:pt>
                <c:pt idx="61">
                  <c:v>1.2956265196503101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DD1-489A-859C-9D0A55372714}"/>
            </c:ext>
          </c:extLst>
        </c:ser>
        <c:ser>
          <c:idx val="4"/>
          <c:order val="6"/>
          <c:tx>
            <c:strRef>
              <c:f>Calculus!$AC$2</c:f>
              <c:strCache>
                <c:ptCount val="1"/>
                <c:pt idx="0">
                  <c:v>ΔTs with B(t) is constant @ 5 ppm/y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Calculus!$V$4:$V$64</c:f>
              <c:numCache>
                <c:formatCode>0</c:formatCode>
                <c:ptCount val="6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</c:numCache>
            </c:numRef>
          </c:xVal>
          <c:yVal>
            <c:numRef>
              <c:f>Calculus!$AC$4:$AC$64</c:f>
              <c:numCache>
                <c:formatCode>0.00</c:formatCode>
                <c:ptCount val="61"/>
                <c:pt idx="0">
                  <c:v>0</c:v>
                </c:pt>
                <c:pt idx="1">
                  <c:v>1.8419177039085553E-2</c:v>
                </c:pt>
                <c:pt idx="2">
                  <c:v>3.6380481546231629E-2</c:v>
                </c:pt>
                <c:pt idx="3">
                  <c:v>5.389803217869172E-2</c:v>
                </c:pt>
                <c:pt idx="4">
                  <c:v>7.0985379893384576E-2</c:v>
                </c:pt>
                <c:pt idx="5">
                  <c:v>8.7655537416350279E-2</c:v>
                </c:pt>
                <c:pt idx="6">
                  <c:v>0.10392100682201526</c:v>
                </c:pt>
                <c:pt idx="7">
                  <c:v>0.11979380536605012</c:v>
                </c:pt>
                <c:pt idx="8">
                  <c:v>0.1352854897030065</c:v>
                </c:pt>
                <c:pt idx="9">
                  <c:v>0.15040717860855971</c:v>
                </c:pt>
                <c:pt idx="10">
                  <c:v>0.16516957431594584</c:v>
                </c:pt>
                <c:pt idx="11">
                  <c:v>0.17958298256690974</c:v>
                </c:pt>
                <c:pt idx="12">
                  <c:v>0.19365733146912989</c:v>
                </c:pt>
                <c:pt idx="13">
                  <c:v>0.20740218924447471</c:v>
                </c:pt>
                <c:pt idx="14">
                  <c:v>0.22082678094559638</c:v>
                </c:pt>
                <c:pt idx="15">
                  <c:v>0.23394000421209588</c:v>
                </c:pt>
                <c:pt idx="16">
                  <c:v>0.24675044413183836</c:v>
                </c:pt>
                <c:pt idx="17">
                  <c:v>0.25926638726782297</c:v>
                </c:pt>
                <c:pt idx="18">
                  <c:v>0.27149583490630474</c:v>
                </c:pt>
                <c:pt idx="19">
                  <c:v>0.28344651557757949</c:v>
                </c:pt>
                <c:pt idx="20">
                  <c:v>0.29512589689692748</c:v>
                </c:pt>
                <c:pt idx="21">
                  <c:v>0.30654119676962627</c:v>
                </c:pt>
                <c:pt idx="22">
                  <c:v>0.31769939400066333</c:v>
                </c:pt>
                <c:pt idx="23">
                  <c:v>0.32860723834679928</c:v>
                </c:pt>
                <c:pt idx="24">
                  <c:v>0.33927126004586527</c:v>
                </c:pt>
                <c:pt idx="25">
                  <c:v>0.34969777885566367</c:v>
                </c:pt>
                <c:pt idx="26">
                  <c:v>0.35989291263252521</c:v>
                </c:pt>
                <c:pt idx="27">
                  <c:v>0.36986258547744966</c:v>
                </c:pt>
                <c:pt idx="28">
                  <c:v>0.37961253547580098</c:v>
                </c:pt>
                <c:pt idx="29">
                  <c:v>0.3891483220547145</c:v>
                </c:pt>
                <c:pt idx="30">
                  <c:v>0.39847533298072807</c:v>
                </c:pt>
                <c:pt idx="31">
                  <c:v>0.4075987910186073</c:v>
                </c:pt>
                <c:pt idx="32">
                  <c:v>0.41652376027092608</c:v>
                </c:pt>
                <c:pt idx="33">
                  <c:v>0.42525515221665294</c:v>
                </c:pt>
                <c:pt idx="34">
                  <c:v>0.43379773146579625</c:v>
                </c:pt>
                <c:pt idx="35">
                  <c:v>0.44215612124603021</c:v>
                </c:pt>
                <c:pt idx="36">
                  <c:v>0.45033480863620284</c:v>
                </c:pt>
                <c:pt idx="37">
                  <c:v>0.45833814956066388</c:v>
                </c:pt>
                <c:pt idx="38">
                  <c:v>0.46617037355746044</c:v>
                </c:pt>
                <c:pt idx="39">
                  <c:v>0.4738355883326234</c:v>
                </c:pt>
                <c:pt idx="40">
                  <c:v>0.481337784112015</c:v>
                </c:pt>
                <c:pt idx="41">
                  <c:v>0.48868083780147481</c:v>
                </c:pt>
                <c:pt idx="42">
                  <c:v>0.49586851696536083</c:v>
                </c:pt>
                <c:pt idx="43">
                  <c:v>0.50290448363295903</c:v>
                </c:pt>
                <c:pt idx="44">
                  <c:v>0.50979229794165426</c:v>
                </c:pt>
                <c:pt idx="45">
                  <c:v>0.51653542162524502</c:v>
                </c:pt>
                <c:pt idx="46">
                  <c:v>0.52313722135525664</c:v>
                </c:pt>
                <c:pt idx="47">
                  <c:v>0.52960097194267319</c:v>
                </c:pt>
                <c:pt idx="48">
                  <c:v>0.53592985940705584</c:v>
                </c:pt>
                <c:pt idx="49">
                  <c:v>0.54212698391962</c:v>
                </c:pt>
                <c:pt idx="50">
                  <c:v>0.54819536262646174</c:v>
                </c:pt>
                <c:pt idx="51">
                  <c:v>0.55413793235777886</c:v>
                </c:pt>
                <c:pt idx="52">
                  <c:v>0.55995755222859167</c:v>
                </c:pt>
                <c:pt idx="53">
                  <c:v>0.56565700613616554</c:v>
                </c:pt>
                <c:pt idx="54">
                  <c:v>0.57123900515904924</c:v>
                </c:pt>
                <c:pt idx="55">
                  <c:v>0.57670618986236599</c:v>
                </c:pt>
                <c:pt idx="56">
                  <c:v>0.58206113251374758</c:v>
                </c:pt>
                <c:pt idx="57">
                  <c:v>0.58730633921405428</c:v>
                </c:pt>
                <c:pt idx="58">
                  <c:v>0.59244425194681316</c:v>
                </c:pt>
                <c:pt idx="59">
                  <c:v>0.59747725055007894</c:v>
                </c:pt>
                <c:pt idx="60">
                  <c:v>0.60240765461424761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DD1-489A-859C-9D0A55372714}"/>
            </c:ext>
          </c:extLst>
        </c:ser>
        <c:ser>
          <c:idx val="5"/>
          <c:order val="7"/>
          <c:tx>
            <c:strRef>
              <c:f>Calculus!$AD$2</c:f>
              <c:strCache>
                <c:ptCount val="1"/>
                <c:pt idx="0">
                  <c:v>ΔTs for a fossil emission reduction realization of 1,5 % per year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Calculus!$V$3:$V$64</c:f>
              <c:numCache>
                <c:formatCode>0</c:formatCode>
                <c:ptCount val="62"/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  <c:pt idx="52">
                  <c:v>2071</c:v>
                </c:pt>
                <c:pt idx="53">
                  <c:v>2072</c:v>
                </c:pt>
                <c:pt idx="54">
                  <c:v>2073</c:v>
                </c:pt>
                <c:pt idx="55">
                  <c:v>2074</c:v>
                </c:pt>
                <c:pt idx="56">
                  <c:v>2075</c:v>
                </c:pt>
                <c:pt idx="57">
                  <c:v>2076</c:v>
                </c:pt>
                <c:pt idx="58">
                  <c:v>2077</c:v>
                </c:pt>
                <c:pt idx="59">
                  <c:v>2078</c:v>
                </c:pt>
                <c:pt idx="60">
                  <c:v>2079</c:v>
                </c:pt>
                <c:pt idx="61">
                  <c:v>2080</c:v>
                </c:pt>
              </c:numCache>
            </c:numRef>
          </c:xVal>
          <c:yVal>
            <c:numRef>
              <c:f>Calculus!$AD$3:$AD$64</c:f>
              <c:numCache>
                <c:formatCode>0.00</c:formatCode>
                <c:ptCount val="62"/>
                <c:pt idx="1">
                  <c:v>0</c:v>
                </c:pt>
                <c:pt idx="2">
                  <c:v>1.7898483043633381E-2</c:v>
                </c:pt>
                <c:pt idx="3">
                  <c:v>3.4845257466925544E-2</c:v>
                </c:pt>
                <c:pt idx="4">
                  <c:v>5.0879616655542005E-2</c:v>
                </c:pt>
                <c:pt idx="5">
                  <c:v>6.6038737367931158E-2</c:v>
                </c:pt>
                <c:pt idx="6">
                  <c:v>8.0357830693200488E-2</c:v>
                </c:pt>
                <c:pt idx="7">
                  <c:v>9.3870279756857494E-2</c:v>
                </c:pt>
                <c:pt idx="8">
                  <c:v>0.10660776554539042</c:v>
                </c:pt>
                <c:pt idx="9">
                  <c:v>0.11860038205802212</c:v>
                </c:pt>
                <c:pt idx="10">
                  <c:v>0.12987674185295389</c:v>
                </c:pt>
                <c:pt idx="11">
                  <c:v>0.14046407293295646</c:v>
                </c:pt>
                <c:pt idx="12">
                  <c:v>0.15038830780847803</c:v>
                </c:pt>
                <c:pt idx="13">
                  <c:v>0.1596741654832888</c:v>
                </c:pt>
                <c:pt idx="14">
                  <c:v>0.16834522702621987</c:v>
                </c:pt>
                <c:pt idx="15">
                  <c:v>0.17642400532107719</c:v>
                </c:pt>
                <c:pt idx="16">
                  <c:v>0.18393200952401512</c:v>
                </c:pt>
                <c:pt idx="17">
                  <c:v>0.19088980470236047</c:v>
                </c:pt>
                <c:pt idx="18">
                  <c:v>0.19731706708009308</c:v>
                </c:pt>
                <c:pt idx="19">
                  <c:v>0.20323263527203841</c:v>
                </c:pt>
                <c:pt idx="20">
                  <c:v>0.2086545578506403</c:v>
                </c:pt>
                <c:pt idx="21">
                  <c:v>0.2136001375552708</c:v>
                </c:pt>
                <c:pt idx="22">
                  <c:v>0.21808597242391625</c:v>
                </c:pt>
                <c:pt idx="23">
                  <c:v>0.22212799410022552</c:v>
                </c:pt>
                <c:pt idx="24">
                  <c:v>0.22574150354501019</c:v>
                </c:pt>
                <c:pt idx="25">
                  <c:v>0.2289412043598783</c:v>
                </c:pt>
                <c:pt idx="26">
                  <c:v>0.23174123391158194</c:v>
                </c:pt>
                <c:pt idx="27">
                  <c:v>0.23415519242849828</c:v>
                </c:pt>
                <c:pt idx="28">
                  <c:v>0.23619617022530912</c:v>
                </c:pt>
                <c:pt idx="29">
                  <c:v>0.23787677319809228</c:v>
                </c:pt>
                <c:pt idx="30">
                  <c:v>0.23920914671962556</c:v>
                </c:pt>
                <c:pt idx="31">
                  <c:v>0.24020499805346118</c:v>
                </c:pt>
                <c:pt idx="32">
                  <c:v>0.24087561739525046</c:v>
                </c:pt>
                <c:pt idx="33">
                  <c:v>0.24123189764060746</c:v>
                </c:pt>
                <c:pt idx="34">
                  <c:v>0.24128435297057385</c:v>
                </c:pt>
                <c:pt idx="35">
                  <c:v>0.24104313633822852</c:v>
                </c:pt>
                <c:pt idx="36">
                  <c:v>0.24051805593318512</c:v>
                </c:pt>
                <c:pt idx="37">
                  <c:v>0.23971859069457502</c:v>
                </c:pt>
                <c:pt idx="38">
                  <c:v>0.23865390493747601</c:v>
                </c:pt>
                <c:pt idx="39">
                  <c:v>0.23733286215264954</c:v>
                </c:pt>
                <c:pt idx="40">
                  <c:v>0.23576403803481513</c:v>
                </c:pt>
                <c:pt idx="41">
                  <c:v>0.23395573279040754</c:v>
                </c:pt>
                <c:pt idx="42">
                  <c:v>0.23191598277193876</c:v>
                </c:pt>
                <c:pt idx="43">
                  <c:v>0.22965257148249599</c:v>
                </c:pt>
                <c:pt idx="44">
                  <c:v>0.2271730399907054</c:v>
                </c:pt>
                <c:pt idx="45">
                  <c:v>0.2244846967935045</c:v>
                </c:pt>
                <c:pt idx="46">
                  <c:v>0.221594627161351</c:v>
                </c:pt>
                <c:pt idx="47">
                  <c:v>0.21850970199800288</c:v>
                </c:pt>
                <c:pt idx="48">
                  <c:v>0.21523658624470504</c:v>
                </c:pt>
                <c:pt idx="49">
                  <c:v>0.21178174685652681</c:v>
                </c:pt>
                <c:pt idx="50">
                  <c:v>0.20815146037663732</c:v>
                </c:pt>
                <c:pt idx="51">
                  <c:v>0.20435182013253558</c:v>
                </c:pt>
                <c:pt idx="52">
                  <c:v>0.20038874307659565</c:v>
                </c:pt>
                <c:pt idx="53">
                  <c:v>0.19626797629178402</c:v>
                </c:pt>
                <c:pt idx="54">
                  <c:v>0.191995103181997</c:v>
                </c:pt>
                <c:pt idx="55">
                  <c:v>0.18757554936516196</c:v>
                </c:pt>
                <c:pt idx="56">
                  <c:v>0.18301458828607756</c:v>
                </c:pt>
                <c:pt idx="57">
                  <c:v>0.17831734656483383</c:v>
                </c:pt>
                <c:pt idx="58">
                  <c:v>0.17348880909563918</c:v>
                </c:pt>
                <c:pt idx="59">
                  <c:v>0.16853382390993793</c:v>
                </c:pt>
                <c:pt idx="60">
                  <c:v>0.16345710681680381</c:v>
                </c:pt>
                <c:pt idx="61">
                  <c:v>0.1582632458327983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DD1-489A-859C-9D0A55372714}"/>
            </c:ext>
          </c:extLst>
        </c:ser>
        <c:ser>
          <c:idx val="7"/>
          <c:order val="8"/>
          <c:tx>
            <c:strRef>
              <c:f>Calculus!$AE$2</c:f>
              <c:strCache>
                <c:ptCount val="1"/>
                <c:pt idx="0">
                  <c:v>ΔTs @ Immediate ban on all CO2 emissions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Calculus!$V$4:$V$64</c:f>
              <c:numCache>
                <c:formatCode>0</c:formatCode>
                <c:ptCount val="6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</c:numCache>
            </c:numRef>
          </c:xVal>
          <c:yVal>
            <c:numRef>
              <c:f>Calculus!$AE$4:$AE$64</c:f>
              <c:numCache>
                <c:formatCode>0.00</c:formatCode>
                <c:ptCount val="61"/>
                <c:pt idx="0">
                  <c:v>0</c:v>
                </c:pt>
                <c:pt idx="1">
                  <c:v>-1.6501084359815291E-2</c:v>
                </c:pt>
                <c:pt idx="2">
                  <c:v>-3.278599626112496E-2</c:v>
                </c:pt>
                <c:pt idx="3">
                  <c:v>-4.8856368173953224E-2</c:v>
                </c:pt>
                <c:pt idx="4">
                  <c:v>-6.4713851900168887E-2</c:v>
                </c:pt>
                <c:pt idx="5">
                  <c:v>-8.0360117693511701E-2</c:v>
                </c:pt>
                <c:pt idx="6">
                  <c:v>-9.5796853381322725E-2</c:v>
                </c:pt>
                <c:pt idx="7">
                  <c:v>-0.11102576348881552</c:v>
                </c:pt>
                <c:pt idx="8">
                  <c:v>-0.12604856836670769</c:v>
                </c:pt>
                <c:pt idx="9">
                  <c:v>-0.14086700332299651</c:v>
                </c:pt>
                <c:pt idx="10">
                  <c:v>-0.15548281775965475</c:v>
                </c:pt>
                <c:pt idx="11">
                  <c:v>-0.16989777431498865</c:v>
                </c:pt>
                <c:pt idx="12">
                  <c:v>-0.18411364801237406</c:v>
                </c:pt>
                <c:pt idx="13">
                  <c:v>-0.19813222541606443</c:v>
                </c:pt>
                <c:pt idx="14">
                  <c:v>-0.21195530379474117</c:v>
                </c:pt>
                <c:pt idx="15">
                  <c:v>-0.22558469029343842</c:v>
                </c:pt>
                <c:pt idx="16">
                  <c:v>-0.23902220111446318</c:v>
                </c:pt>
                <c:pt idx="17">
                  <c:v>-0.25226966070788709</c:v>
                </c:pt>
                <c:pt idx="18">
                  <c:v>-0.26532890097217321</c:v>
                </c:pt>
                <c:pt idx="19">
                  <c:v>-0.27820176046546197</c:v>
                </c:pt>
                <c:pt idx="20">
                  <c:v>-0.2908900836280201</c:v>
                </c:pt>
                <c:pt idx="21">
                  <c:v>-0.30339572001632398</c:v>
                </c:pt>
                <c:pt idx="22">
                  <c:v>-0.31572052354922375</c:v>
                </c:pt>
                <c:pt idx="23">
                  <c:v>-0.32786635176660062</c:v>
                </c:pt>
                <c:pt idx="24">
                  <c:v>-0.33983506510091221</c:v>
                </c:pt>
                <c:pt idx="25">
                  <c:v>-0.35162852616198009</c:v>
                </c:pt>
                <c:pt idx="26">
                  <c:v>-0.36324859903536166</c:v>
                </c:pt>
                <c:pt idx="27">
                  <c:v>-0.37469714859460335</c:v>
                </c:pt>
                <c:pt idx="28">
                  <c:v>-0.38597603982766554</c:v>
                </c:pt>
                <c:pt idx="29">
                  <c:v>-0.39708713717776462</c:v>
                </c:pt>
                <c:pt idx="30">
                  <c:v>-0.40803230389886475</c:v>
                </c:pt>
                <c:pt idx="31">
                  <c:v>-0.41881340142602191</c:v>
                </c:pt>
                <c:pt idx="32">
                  <c:v>-0.42943228876075579</c:v>
                </c:pt>
                <c:pt idx="33">
                  <c:v>-0.43989082187160405</c:v>
                </c:pt>
                <c:pt idx="34">
                  <c:v>-0.45019085310999202</c:v>
                </c:pt>
                <c:pt idx="35">
                  <c:v>-0.46033423064151885</c:v>
                </c:pt>
                <c:pt idx="36">
                  <c:v>-0.47032279789275</c:v>
                </c:pt>
                <c:pt idx="37">
                  <c:v>-0.48015839301357693</c:v>
                </c:pt>
                <c:pt idx="38">
                  <c:v>-0.48984284835518271</c:v>
                </c:pt>
                <c:pt idx="39">
                  <c:v>-0.49937798996364319</c:v>
                </c:pt>
                <c:pt idx="40">
                  <c:v>-0.50876563708915445</c:v>
                </c:pt>
                <c:pt idx="41">
                  <c:v>-0.5180076017108779</c:v>
                </c:pt>
                <c:pt idx="42">
                  <c:v>-0.52710568807736335</c:v>
                </c:pt>
                <c:pt idx="43">
                  <c:v>-0.53606169226249956</c:v>
                </c:pt>
                <c:pt idx="44">
                  <c:v>-0.54487740173691956</c:v>
                </c:pt>
                <c:pt idx="45">
                  <c:v>-0.55355459495477799</c:v>
                </c:pt>
                <c:pt idx="46">
                  <c:v>-0.56209504095579943</c:v>
                </c:pt>
                <c:pt idx="47">
                  <c:v>-0.57050049898248001</c:v>
                </c:pt>
                <c:pt idx="48">
                  <c:v>-0.57877271811231545</c:v>
                </c:pt>
                <c:pt idx="49">
                  <c:v>-0.58691343690491138</c:v>
                </c:pt>
                <c:pt idx="50">
                  <c:v>-0.59492438306382611</c:v>
                </c:pt>
                <c:pt idx="51">
                  <c:v>-0.60280727311297344</c:v>
                </c:pt>
                <c:pt idx="52">
                  <c:v>-0.61056381208741273</c:v>
                </c:pt>
                <c:pt idx="53">
                  <c:v>-0.61819569323834023</c:v>
                </c:pt>
                <c:pt idx="54">
                  <c:v>-0.62570459775208032</c:v>
                </c:pt>
                <c:pt idx="55">
                  <c:v>-0.63309219448287912</c:v>
                </c:pt>
                <c:pt idx="56">
                  <c:v>-0.64036013969927696</c:v>
                </c:pt>
                <c:pt idx="57">
                  <c:v>-0.6475100768438502</c:v>
                </c:pt>
                <c:pt idx="58">
                  <c:v>-0.65454363630608736</c:v>
                </c:pt>
                <c:pt idx="59">
                  <c:v>-0.66146243520816439</c:v>
                </c:pt>
                <c:pt idx="60">
                  <c:v>-0.6682680772033881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EF-4630-B380-CA569FE2B84E}"/>
            </c:ext>
          </c:extLst>
        </c:ser>
        <c:ser>
          <c:idx val="9"/>
          <c:order val="9"/>
          <c:tx>
            <c:strRef>
              <c:f>Calculus!$AA$2</c:f>
              <c:strCache>
                <c:ptCount val="1"/>
                <c:pt idx="0">
                  <c:v>ΔTs history calculated w.r.t. 2020 with TCR=2 for use in fig. 5                      Note: REFERS to years in column 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Calculus!$A$44:$A$64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Calculus!$AA$44:$AA$64</c:f>
              <c:numCache>
                <c:formatCode>0.00</c:formatCode>
                <c:ptCount val="21"/>
                <c:pt idx="0">
                  <c:v>-0.3207444157540606</c:v>
                </c:pt>
                <c:pt idx="1">
                  <c:v>-0.30835656853861443</c:v>
                </c:pt>
                <c:pt idx="2">
                  <c:v>-0.29176713841994167</c:v>
                </c:pt>
                <c:pt idx="3">
                  <c:v>-0.27235342977350446</c:v>
                </c:pt>
                <c:pt idx="4">
                  <c:v>-0.25917741011465462</c:v>
                </c:pt>
                <c:pt idx="5">
                  <c:v>-0.24180375231462051</c:v>
                </c:pt>
                <c:pt idx="6">
                  <c:v>-0.22589372336858751</c:v>
                </c:pt>
                <c:pt idx="7">
                  <c:v>-0.21164932072499651</c:v>
                </c:pt>
                <c:pt idx="8">
                  <c:v>-0.19807346015369198</c:v>
                </c:pt>
                <c:pt idx="9">
                  <c:v>-0.18441222135706717</c:v>
                </c:pt>
                <c:pt idx="10">
                  <c:v>-0.1660752538183437</c:v>
                </c:pt>
                <c:pt idx="11">
                  <c:v>-0.15315364654561936</c:v>
                </c:pt>
                <c:pt idx="12">
                  <c:v>-0.1369910118464179</c:v>
                </c:pt>
                <c:pt idx="13">
                  <c:v>-0.11749629209611819</c:v>
                </c:pt>
                <c:pt idx="14">
                  <c:v>-0.10203822508218373</c:v>
                </c:pt>
                <c:pt idx="15">
                  <c:v>-8.6302581994081085E-2</c:v>
                </c:pt>
                <c:pt idx="16">
                  <c:v>-6.1859393152434695E-2</c:v>
                </c:pt>
                <c:pt idx="17">
                  <c:v>-4.541797398489128E-2</c:v>
                </c:pt>
                <c:pt idx="18">
                  <c:v>-3.1470142437350253E-2</c:v>
                </c:pt>
                <c:pt idx="19">
                  <c:v>-1.0989575596581301E-2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DD-41D7-AA33-17852DDEC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889192"/>
        <c:axId val="563895752"/>
      </c:scatterChart>
      <c:valAx>
        <c:axId val="563888536"/>
        <c:scaling>
          <c:orientation val="minMax"/>
          <c:max val="2080"/>
          <c:min val="2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3880336"/>
        <c:crosses val="autoZero"/>
        <c:crossBetween val="midCat"/>
      </c:valAx>
      <c:valAx>
        <c:axId val="563880336"/>
        <c:scaling>
          <c:orientation val="minMax"/>
          <c:max val="610"/>
          <c:min val="2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CO</a:t>
                </a:r>
                <a:r>
                  <a:rPr lang="en-US" sz="14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 concentration in ppm</a:t>
                </a:r>
              </a:p>
            </c:rich>
          </c:tx>
          <c:layout>
            <c:manualLayout>
              <c:xMode val="edge"/>
              <c:yMode val="edge"/>
              <c:x val="2.5191790860987647E-3"/>
              <c:y val="0.38547026025577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spPr>
          <a:solidFill>
            <a:schemeClr val="bg1"/>
          </a:solidFill>
          <a:ln cap="rnd">
            <a:solidFill>
              <a:schemeClr val="tx1"/>
            </a:solidFill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3888536"/>
        <c:crosses val="autoZero"/>
        <c:crossBetween val="midCat"/>
        <c:majorUnit val="40"/>
      </c:valAx>
      <c:valAx>
        <c:axId val="563895752"/>
        <c:scaling>
          <c:orientation val="minMax"/>
          <c:max val="1"/>
          <c:min val="-0.60000000000000009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i="0">
                    <a:solidFill>
                      <a:sysClr val="windowText" lastClr="000000"/>
                    </a:solidFill>
                  </a:rPr>
                  <a:t>Possible Temperature change </a:t>
                </a:r>
                <a:r>
                  <a:rPr lang="el-GR" sz="1400" b="0" i="0" u="none" strike="noStrike" baseline="0">
                    <a:effectLst/>
                  </a:rPr>
                  <a:t>Δ</a:t>
                </a:r>
                <a:r>
                  <a:rPr lang="en-US" sz="1400" b="0" i="0" u="none" strike="noStrike" baseline="0">
                    <a:effectLst/>
                  </a:rPr>
                  <a:t>T</a:t>
                </a:r>
                <a:r>
                  <a:rPr lang="en-US" sz="1400" b="0" i="0" u="none" strike="noStrike" baseline="-25000">
                    <a:effectLst/>
                  </a:rPr>
                  <a:t>s</a:t>
                </a:r>
                <a:r>
                  <a:rPr lang="en-US" sz="1400" b="0" i="0" u="none" strike="noStrike" baseline="0">
                    <a:effectLst/>
                  </a:rPr>
                  <a:t> based on the projected CO</a:t>
                </a:r>
                <a:r>
                  <a:rPr lang="en-US" sz="1400" b="0" i="0" u="none" strike="noStrike" baseline="-25000">
                    <a:effectLst/>
                  </a:rPr>
                  <a:t>2</a:t>
                </a:r>
                <a:r>
                  <a:rPr lang="en-US" sz="1400" b="0" i="0" u="none" strike="noStrike" baseline="0">
                    <a:effectLst/>
                  </a:rPr>
                  <a:t> level in</a:t>
                </a:r>
                <a:r>
                  <a:rPr lang="en-US" sz="1400" b="0" i="0" u="none" strike="noStrike" baseline="30000">
                    <a:effectLst/>
                  </a:rPr>
                  <a:t> o</a:t>
                </a:r>
                <a:r>
                  <a:rPr lang="en-US" sz="1400" b="0" i="0" u="none" strike="noStrike" baseline="0">
                    <a:effectLst/>
                  </a:rPr>
                  <a:t>C</a:t>
                </a:r>
                <a:endParaRPr lang="en-US" sz="1400" i="0" baseline="-250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68636097090350023"/>
              <c:y val="0.24872129924548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3889192"/>
        <c:crosses val="max"/>
        <c:crossBetween val="midCat"/>
        <c:majorUnit val="0.2"/>
        <c:minorUnit val="0.1"/>
      </c:valAx>
      <c:valAx>
        <c:axId val="56388919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5638957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nl-NL"/>
          </a:p>
        </c:txPr>
      </c:legendEntry>
      <c:layout>
        <c:manualLayout>
          <c:xMode val="edge"/>
          <c:yMode val="edge"/>
          <c:x val="0.73787454062248192"/>
          <c:y val="0.14480288458096904"/>
          <c:w val="0.19525561952901402"/>
          <c:h val="0.61965914985190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3374771951955E-2"/>
          <c:y val="0.18008421884157685"/>
          <c:w val="0.73611962089947747"/>
          <c:h val="0.72585620365415493"/>
        </c:manualLayout>
      </c:layout>
      <c:scatterChart>
        <c:scatterStyle val="lineMarker"/>
        <c:varyColors val="0"/>
        <c:ser>
          <c:idx val="0"/>
          <c:order val="0"/>
          <c:tx>
            <c:v>Measured fraction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Calculus!$A$4:$A$63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xVal>
          <c:yVal>
            <c:numRef>
              <c:f>Calculus!$AG$4:$AG$63</c:f>
              <c:numCache>
                <c:formatCode>0.00</c:formatCode>
                <c:ptCount val="60"/>
                <c:pt idx="0">
                  <c:v>0.78424475924315751</c:v>
                </c:pt>
                <c:pt idx="1">
                  <c:v>0.60762135458497624</c:v>
                </c:pt>
                <c:pt idx="2">
                  <c:v>0.65110350942710482</c:v>
                </c:pt>
                <c:pt idx="3">
                  <c:v>0.4108029700616766</c:v>
                </c:pt>
                <c:pt idx="4">
                  <c:v>0.45556980004457087</c:v>
                </c:pt>
                <c:pt idx="5">
                  <c:v>0.29023168683014983</c:v>
                </c:pt>
                <c:pt idx="6">
                  <c:v>0.88483109820016825</c:v>
                </c:pt>
                <c:pt idx="7">
                  <c:v>0.49907742214906631</c:v>
                </c:pt>
                <c:pt idx="8">
                  <c:v>0.53392071789691042</c:v>
                </c:pt>
                <c:pt idx="9">
                  <c:v>0.89876838521705082</c:v>
                </c:pt>
                <c:pt idx="10">
                  <c:v>0.55685168611188984</c:v>
                </c:pt>
                <c:pt idx="11">
                  <c:v>0.32315914248292449</c:v>
                </c:pt>
                <c:pt idx="12">
                  <c:v>0.54523463926071425</c:v>
                </c:pt>
                <c:pt idx="13">
                  <c:v>1.0217015542019279</c:v>
                </c:pt>
                <c:pt idx="14">
                  <c:v>0.23007583154863975</c:v>
                </c:pt>
                <c:pt idx="15">
                  <c:v>0.42848428281532075</c:v>
                </c:pt>
                <c:pt idx="16">
                  <c:v>0.40689708348417492</c:v>
                </c:pt>
                <c:pt idx="17">
                  <c:v>0.76224039641993235</c:v>
                </c:pt>
                <c:pt idx="18">
                  <c:v>0.64492939100849755</c:v>
                </c:pt>
                <c:pt idx="19">
                  <c:v>0.57616297765426061</c:v>
                </c:pt>
                <c:pt idx="20">
                  <c:v>0.76788669815115873</c:v>
                </c:pt>
                <c:pt idx="21">
                  <c:v>0.5620287344937851</c:v>
                </c:pt>
                <c:pt idx="22">
                  <c:v>0.55790514083729015</c:v>
                </c:pt>
                <c:pt idx="23">
                  <c:v>0.659899487579792</c:v>
                </c:pt>
                <c:pt idx="24">
                  <c:v>0.64123987639396041</c:v>
                </c:pt>
                <c:pt idx="25">
                  <c:v>0.56887396024235692</c:v>
                </c:pt>
                <c:pt idx="26">
                  <c:v>0.49602313088720251</c:v>
                </c:pt>
                <c:pt idx="27">
                  <c:v>0.65414698522518422</c:v>
                </c:pt>
                <c:pt idx="28">
                  <c:v>0.84718133521177352</c:v>
                </c:pt>
                <c:pt idx="29">
                  <c:v>0.5435462152600572</c:v>
                </c:pt>
                <c:pt idx="30">
                  <c:v>0.43581284623232752</c:v>
                </c:pt>
                <c:pt idx="31">
                  <c:v>0.41010856616043423</c:v>
                </c:pt>
                <c:pt idx="32">
                  <c:v>0.29147607607470233</c:v>
                </c:pt>
                <c:pt idx="33">
                  <c:v>0.22306549746306598</c:v>
                </c:pt>
                <c:pt idx="34">
                  <c:v>0.58950716068639053</c:v>
                </c:pt>
                <c:pt idx="35">
                  <c:v>0.66377811935328923</c:v>
                </c:pt>
                <c:pt idx="36">
                  <c:v>0.57903069885259217</c:v>
                </c:pt>
                <c:pt idx="37">
                  <c:v>0.36024559821720914</c:v>
                </c:pt>
                <c:pt idx="38">
                  <c:v>0.95873785353705321</c:v>
                </c:pt>
                <c:pt idx="39">
                  <c:v>0.53551574570474036</c:v>
                </c:pt>
                <c:pt idx="40">
                  <c:v>0.36260200762212014</c:v>
                </c:pt>
                <c:pt idx="41">
                  <c:v>0.48868468482549821</c:v>
                </c:pt>
                <c:pt idx="42">
                  <c:v>0.64364470820684372</c:v>
                </c:pt>
                <c:pt idx="43">
                  <c:v>0.72310454216104703</c:v>
                </c:pt>
                <c:pt idx="44">
                  <c:v>0.47140037505342974</c:v>
                </c:pt>
                <c:pt idx="45">
                  <c:v>0.6045453398471895</c:v>
                </c:pt>
                <c:pt idx="46">
                  <c:v>0.5389530563969841</c:v>
                </c:pt>
                <c:pt idx="47">
                  <c:v>0.471002198964517</c:v>
                </c:pt>
                <c:pt idx="48">
                  <c:v>0.44102401705004779</c:v>
                </c:pt>
                <c:pt idx="49">
                  <c:v>0.45243219837659621</c:v>
                </c:pt>
                <c:pt idx="50">
                  <c:v>0.58083855863930789</c:v>
                </c:pt>
                <c:pt idx="51">
                  <c:v>0.39807237522818267</c:v>
                </c:pt>
                <c:pt idx="52">
                  <c:v>0.49293231662652409</c:v>
                </c:pt>
                <c:pt idx="53">
                  <c:v>0.59539414513743094</c:v>
                </c:pt>
                <c:pt idx="54">
                  <c:v>0.47139851297278962</c:v>
                </c:pt>
                <c:pt idx="55">
                  <c:v>0.48227522264739481</c:v>
                </c:pt>
                <c:pt idx="56">
                  <c:v>0.75137724518393911</c:v>
                </c:pt>
                <c:pt idx="57">
                  <c:v>0.5028740568942377</c:v>
                </c:pt>
                <c:pt idx="58">
                  <c:v>0.41991961909182868</c:v>
                </c:pt>
                <c:pt idx="59">
                  <c:v>0.58517675105701084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B4-4C41-B344-B4F6C8B5AAC4}"/>
            </c:ext>
          </c:extLst>
        </c:ser>
        <c:ser>
          <c:idx val="1"/>
          <c:order val="1"/>
          <c:tx>
            <c:v>Calculated fraction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25400" cap="rnd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Calculus!$A$4:$A$63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xVal>
          <c:yVal>
            <c:numRef>
              <c:f>Calculus!$AH$4:$AH$63</c:f>
              <c:numCache>
                <c:formatCode>0.00</c:formatCode>
                <c:ptCount val="60"/>
                <c:pt idx="0">
                  <c:v>0.53152642220115809</c:v>
                </c:pt>
                <c:pt idx="1">
                  <c:v>0.5227066084748142</c:v>
                </c:pt>
                <c:pt idx="2">
                  <c:v>0.52962900786441169</c:v>
                </c:pt>
                <c:pt idx="3">
                  <c:v>0.54547183522021969</c:v>
                </c:pt>
                <c:pt idx="4">
                  <c:v>0.55825710765886871</c:v>
                </c:pt>
                <c:pt idx="5">
                  <c:v>0.56789408913789463</c:v>
                </c:pt>
                <c:pt idx="6">
                  <c:v>0.57695172836687514</c:v>
                </c:pt>
                <c:pt idx="7">
                  <c:v>0.57962223152425318</c:v>
                </c:pt>
                <c:pt idx="8">
                  <c:v>0.5911053329295507</c:v>
                </c:pt>
                <c:pt idx="9">
                  <c:v>0.60628013896994892</c:v>
                </c:pt>
                <c:pt idx="10">
                  <c:v>0.62592906196572329</c:v>
                </c:pt>
                <c:pt idx="11">
                  <c:v>0.62920671053459853</c:v>
                </c:pt>
                <c:pt idx="12">
                  <c:v>0.63443765505580552</c:v>
                </c:pt>
                <c:pt idx="13">
                  <c:v>0.64162290242441322</c:v>
                </c:pt>
                <c:pt idx="14">
                  <c:v>0.62802164966872853</c:v>
                </c:pt>
                <c:pt idx="15">
                  <c:v>0.6157958298256494</c:v>
                </c:pt>
                <c:pt idx="16">
                  <c:v>0.6242218663280239</c:v>
                </c:pt>
                <c:pt idx="17">
                  <c:v>0.62290715222694204</c:v>
                </c:pt>
                <c:pt idx="18">
                  <c:v>0.62500254794040799</c:v>
                </c:pt>
                <c:pt idx="19">
                  <c:v>0.62336405928495608</c:v>
                </c:pt>
                <c:pt idx="20">
                  <c:v>0.60984745122387307</c:v>
                </c:pt>
                <c:pt idx="21">
                  <c:v>0.58724042277895139</c:v>
                </c:pt>
                <c:pt idx="22">
                  <c:v>0.57309489285591231</c:v>
                </c:pt>
                <c:pt idx="23">
                  <c:v>0.56649252728204902</c:v>
                </c:pt>
                <c:pt idx="24">
                  <c:v>0.5684613411142001</c:v>
                </c:pt>
                <c:pt idx="25">
                  <c:v>0.57304543247083672</c:v>
                </c:pt>
                <c:pt idx="26">
                  <c:v>0.56847857202322283</c:v>
                </c:pt>
                <c:pt idx="27">
                  <c:v>0.57173717672807167</c:v>
                </c:pt>
                <c:pt idx="28">
                  <c:v>0.57722246503541164</c:v>
                </c:pt>
                <c:pt idx="29">
                  <c:v>0.57286878127247398</c:v>
                </c:pt>
                <c:pt idx="30">
                  <c:v>0.57154420814879592</c:v>
                </c:pt>
                <c:pt idx="31">
                  <c:v>0.5698255870534481</c:v>
                </c:pt>
                <c:pt idx="32">
                  <c:v>0.54495831010004614</c:v>
                </c:pt>
                <c:pt idx="33">
                  <c:v>0.53989060685917001</c:v>
                </c:pt>
                <c:pt idx="34">
                  <c:v>0.53311781074538289</c:v>
                </c:pt>
                <c:pt idx="35">
                  <c:v>0.53322677476657077</c:v>
                </c:pt>
                <c:pt idx="36">
                  <c:v>0.53766117119667034</c:v>
                </c:pt>
                <c:pt idx="37">
                  <c:v>0.53028818684791146</c:v>
                </c:pt>
                <c:pt idx="38">
                  <c:v>0.51864727116162124</c:v>
                </c:pt>
                <c:pt idx="39">
                  <c:v>0.51511063158176706</c:v>
                </c:pt>
                <c:pt idx="40">
                  <c:v>0.51920146436425174</c:v>
                </c:pt>
                <c:pt idx="41">
                  <c:v>0.51356015821920042</c:v>
                </c:pt>
                <c:pt idx="42">
                  <c:v>0.51458104203119115</c:v>
                </c:pt>
                <c:pt idx="43">
                  <c:v>0.52771294919150336</c:v>
                </c:pt>
                <c:pt idx="44">
                  <c:v>0.53948491634423146</c:v>
                </c:pt>
                <c:pt idx="45">
                  <c:v>0.54471486127628888</c:v>
                </c:pt>
                <c:pt idx="46">
                  <c:v>0.54946736685034514</c:v>
                </c:pt>
                <c:pt idx="47">
                  <c:v>0.55254967047513925</c:v>
                </c:pt>
                <c:pt idx="48">
                  <c:v>0.55241265906008219</c:v>
                </c:pt>
                <c:pt idx="49">
                  <c:v>0.53537610258991841</c:v>
                </c:pt>
                <c:pt idx="50">
                  <c:v>0.54854745628251944</c:v>
                </c:pt>
                <c:pt idx="51">
                  <c:v>0.55338757100685565</c:v>
                </c:pt>
                <c:pt idx="52">
                  <c:v>0.5498936715506384</c:v>
                </c:pt>
                <c:pt idx="53">
                  <c:v>0.54180580366783238</c:v>
                </c:pt>
                <c:pt idx="54">
                  <c:v>0.53520728023105302</c:v>
                </c:pt>
                <c:pt idx="55">
                  <c:v>0.52538938551891545</c:v>
                </c:pt>
                <c:pt idx="56">
                  <c:v>0.51750023148393121</c:v>
                </c:pt>
                <c:pt idx="57">
                  <c:v>0.51374835282525733</c:v>
                </c:pt>
                <c:pt idx="58">
                  <c:v>0.51448027621586778</c:v>
                </c:pt>
                <c:pt idx="59">
                  <c:v>0.53289039854228637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B4-4C41-B344-B4F6C8B5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502064"/>
        <c:axId val="408503048"/>
      </c:scatterChart>
      <c:valAx>
        <c:axId val="408502064"/>
        <c:scaling>
          <c:orientation val="minMax"/>
          <c:max val="2020"/>
          <c:min val="19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503048"/>
        <c:crosses val="autoZero"/>
        <c:crossBetween val="midCat"/>
      </c:valAx>
      <c:valAx>
        <c:axId val="4085030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Fraction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8502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719913</xdr:colOff>
      <xdr:row>78</xdr:row>
      <xdr:rowOff>188285</xdr:rowOff>
    </xdr:from>
    <xdr:to>
      <xdr:col>19</xdr:col>
      <xdr:colOff>0</xdr:colOff>
      <xdr:row>79</xdr:row>
      <xdr:rowOff>5538</xdr:rowOff>
    </xdr:to>
    <xdr:cxnSp macro="">
      <xdr:nvCxnSpPr>
        <xdr:cNvPr id="3" name="Rechte verbindingslijn 2">
          <a:extLst>
            <a:ext uri="{FF2B5EF4-FFF2-40B4-BE49-F238E27FC236}">
              <a16:creationId xmlns:a16="http://schemas.microsoft.com/office/drawing/2014/main" id="{D07C7D19-1B38-4CDA-8A7B-CB918BCE36EB}"/>
            </a:ext>
          </a:extLst>
        </xdr:cNvPr>
        <xdr:cNvCxnSpPr/>
      </xdr:nvCxnSpPr>
      <xdr:spPr>
        <a:xfrm>
          <a:off x="12221904" y="19675770"/>
          <a:ext cx="3394666" cy="55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78</xdr:row>
      <xdr:rowOff>188285</xdr:rowOff>
    </xdr:from>
    <xdr:to>
      <xdr:col>26</xdr:col>
      <xdr:colOff>0</xdr:colOff>
      <xdr:row>78</xdr:row>
      <xdr:rowOff>188285</xdr:rowOff>
    </xdr:to>
    <xdr:cxnSp macro="">
      <xdr:nvCxnSpPr>
        <xdr:cNvPr id="5" name="Rechte verbindingslijn 4">
          <a:extLst>
            <a:ext uri="{FF2B5EF4-FFF2-40B4-BE49-F238E27FC236}">
              <a16:creationId xmlns:a16="http://schemas.microsoft.com/office/drawing/2014/main" id="{9CDB6C7F-6CEB-43FC-86FE-1AFAF13F3CB2}"/>
            </a:ext>
          </a:extLst>
        </xdr:cNvPr>
        <xdr:cNvCxnSpPr/>
      </xdr:nvCxnSpPr>
      <xdr:spPr>
        <a:xfrm>
          <a:off x="16989942" y="19675770"/>
          <a:ext cx="3389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3196</xdr:colOff>
      <xdr:row>78</xdr:row>
      <xdr:rowOff>9589</xdr:rowOff>
    </xdr:from>
    <xdr:to>
      <xdr:col>16</xdr:col>
      <xdr:colOff>3198</xdr:colOff>
      <xdr:row>86</xdr:row>
      <xdr:rowOff>6395</xdr:rowOff>
    </xdr:to>
    <xdr:cxnSp macro="">
      <xdr:nvCxnSpPr>
        <xdr:cNvPr id="7" name="Rechte verbindingslijn 6">
          <a:extLst>
            <a:ext uri="{FF2B5EF4-FFF2-40B4-BE49-F238E27FC236}">
              <a16:creationId xmlns:a16="http://schemas.microsoft.com/office/drawing/2014/main" id="{2AB295D0-E183-46A2-B106-F473722E6465}"/>
            </a:ext>
          </a:extLst>
        </xdr:cNvPr>
        <xdr:cNvCxnSpPr/>
      </xdr:nvCxnSpPr>
      <xdr:spPr>
        <a:xfrm flipH="1" flipV="1">
          <a:off x="13079295" y="19711636"/>
          <a:ext cx="2" cy="1738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78</xdr:row>
      <xdr:rowOff>12786</xdr:rowOff>
    </xdr:from>
    <xdr:to>
      <xdr:col>23</xdr:col>
      <xdr:colOff>0</xdr:colOff>
      <xdr:row>86</xdr:row>
      <xdr:rowOff>3197</xdr:rowOff>
    </xdr:to>
    <xdr:cxnSp macro="">
      <xdr:nvCxnSpPr>
        <xdr:cNvPr id="14" name="Rechte verbindingslijn 13">
          <a:extLst>
            <a:ext uri="{FF2B5EF4-FFF2-40B4-BE49-F238E27FC236}">
              <a16:creationId xmlns:a16="http://schemas.microsoft.com/office/drawing/2014/main" id="{612207D6-F9AE-4B5D-B14B-FA4D0A59F805}"/>
            </a:ext>
          </a:extLst>
        </xdr:cNvPr>
        <xdr:cNvCxnSpPr/>
      </xdr:nvCxnSpPr>
      <xdr:spPr>
        <a:xfrm flipV="1">
          <a:off x="17835403" y="19714833"/>
          <a:ext cx="0" cy="17323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152401</xdr:rowOff>
    </xdr:from>
    <xdr:to>
      <xdr:col>25</xdr:col>
      <xdr:colOff>180975</xdr:colOff>
      <xdr:row>42</xdr:row>
      <xdr:rowOff>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4DEA5EC-C1EE-4029-B157-23D65488C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438150</xdr:colOff>
      <xdr:row>1</xdr:row>
      <xdr:rowOff>159178</xdr:rowOff>
    </xdr:from>
    <xdr:ext cx="9725025" cy="843693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947FBCE-1C6A-42CF-A962-0A735EE87C1F}"/>
            </a:ext>
          </a:extLst>
        </xdr:cNvPr>
        <xdr:cNvSpPr txBox="1"/>
      </xdr:nvSpPr>
      <xdr:spPr>
        <a:xfrm>
          <a:off x="4705350" y="349678"/>
          <a:ext cx="9725025" cy="843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l"/>
          <a:r>
            <a:rPr lang="nl-NL" sz="1600">
              <a:solidFill>
                <a:sysClr val="windowText" lastClr="000000"/>
              </a:solidFill>
            </a:rPr>
            <a:t>Fig. 6     The "airborne fraction" </a:t>
          </a:r>
          <a:r>
            <a:rPr lang="nl-NL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the annual </a:t>
          </a:r>
          <a:r>
            <a:rPr lang="nl-NL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fossil fuel emissions of CO</a:t>
          </a:r>
          <a:r>
            <a:rPr lang="nl-NL" sz="1600" baseline="-25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600">
              <a:solidFill>
                <a:sysClr val="windowText" lastClr="000000"/>
              </a:solidFill>
            </a:rPr>
            <a:t>that stays in the atmosphere</a:t>
          </a:r>
          <a:r>
            <a:rPr lang="nl-NL" sz="1600" baseline="0">
              <a:solidFill>
                <a:sysClr val="windowText" lastClr="000000"/>
              </a:solidFill>
            </a:rPr>
            <a:t>, </a:t>
          </a:r>
          <a:br>
            <a:rPr lang="nl-NL" sz="1600" baseline="0">
              <a:solidFill>
                <a:sysClr val="windowText" lastClr="000000"/>
              </a:solidFill>
            </a:rPr>
          </a:br>
          <a:r>
            <a:rPr lang="nl-NL" sz="1600" baseline="0">
              <a:solidFill>
                <a:sysClr val="windowText" lastClr="000000"/>
              </a:solidFill>
            </a:rPr>
            <a:t>               both as calculated from the Mauna Loa measurements as well as from the reconstructed data</a:t>
          </a:r>
          <a:br>
            <a:rPr lang="nl-NL" sz="1600" baseline="0">
              <a:solidFill>
                <a:sysClr val="windowText" lastClr="000000"/>
              </a:solidFill>
            </a:rPr>
          </a:br>
          <a:r>
            <a:rPr lang="nl-NL" sz="1600" baseline="0">
              <a:solidFill>
                <a:sysClr val="windowText" lastClr="000000"/>
              </a:solidFill>
            </a:rPr>
            <a:t>               with N(0)=287 ppm and T=53,5 years. Trendlines coincide and decline identically </a:t>
          </a:r>
          <a:endParaRPr lang="nl-NL" sz="16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104775</xdr:rowOff>
    </xdr:from>
    <xdr:to>
      <xdr:col>18</xdr:col>
      <xdr:colOff>1</xdr:colOff>
      <xdr:row>52</xdr:row>
      <xdr:rowOff>85725</xdr:rowOff>
    </xdr:to>
    <xdr:graphicFrame macro="">
      <xdr:nvGraphicFramePr>
        <xdr:cNvPr id="3" name="Grafiek 2" title="CO2 Data">
          <a:extLst>
            <a:ext uri="{FF2B5EF4-FFF2-40B4-BE49-F238E27FC236}">
              <a16:creationId xmlns:a16="http://schemas.microsoft.com/office/drawing/2014/main" id="{4A277D2B-DFB2-468D-A5D7-B774390A5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0.11904</cdr:x>
      <cdr:y>0.5734</cdr:y>
    </cdr:from>
    <cdr:to>
      <cdr:x>0.16494</cdr:x>
      <cdr:y>0.58696</cdr:y>
    </cdr:to>
    <cdr:sp macro="" textlink="">
      <cdr:nvSpPr>
        <cdr:cNvPr id="2" name="Pijl: rechts 1">
          <a:extLst xmlns:a="http://schemas.openxmlformats.org/drawingml/2006/main">
            <a:ext uri="{FF2B5EF4-FFF2-40B4-BE49-F238E27FC236}">
              <a16:creationId xmlns:a16="http://schemas.microsoft.com/office/drawing/2014/main" id="{36BB23AA-97B4-4C5A-88B6-5EA3AACFA8E7}"/>
            </a:ext>
          </a:extLst>
        </cdr:cNvPr>
        <cdr:cNvSpPr/>
      </cdr:nvSpPr>
      <cdr:spPr>
        <a:xfrm xmlns:a="http://schemas.openxmlformats.org/drawingml/2006/main" rot="10800000">
          <a:off x="1233611" y="5450744"/>
          <a:ext cx="475671" cy="128900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0.17699</cdr:x>
      <cdr:y>0.56429</cdr:y>
    </cdr:from>
    <cdr:to>
      <cdr:x>0.23175</cdr:x>
      <cdr:y>0.59559</cdr:y>
    </cdr:to>
    <cdr:sp macro="" textlink="">
      <cdr:nvSpPr>
        <cdr:cNvPr id="6" name="Tekstvak 5">
          <a:extLst xmlns:a="http://schemas.openxmlformats.org/drawingml/2006/main">
            <a:ext uri="{FF2B5EF4-FFF2-40B4-BE49-F238E27FC236}">
              <a16:creationId xmlns:a16="http://schemas.microsoft.com/office/drawing/2014/main" id="{4DB03AFE-9A9E-4A7E-B5AF-603933E774B3}"/>
            </a:ext>
          </a:extLst>
        </cdr:cNvPr>
        <cdr:cNvSpPr txBox="1"/>
      </cdr:nvSpPr>
      <cdr:spPr>
        <a:xfrm xmlns:a="http://schemas.openxmlformats.org/drawingml/2006/main">
          <a:off x="1834201" y="5364151"/>
          <a:ext cx="567489" cy="297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400"/>
            <a:t>N(t)</a:t>
          </a:r>
        </a:p>
      </cdr:txBody>
    </cdr:sp>
  </cdr:relSizeAnchor>
  <cdr:relSizeAnchor xmlns:cdr="http://schemas.openxmlformats.org/drawingml/2006/chartDrawing">
    <cdr:from>
      <cdr:x>0.71863</cdr:x>
      <cdr:y>0.72116</cdr:y>
    </cdr:from>
    <cdr:to>
      <cdr:x>0.80239</cdr:x>
      <cdr:y>0.75694</cdr:y>
    </cdr:to>
    <cdr:sp macro="" textlink="">
      <cdr:nvSpPr>
        <cdr:cNvPr id="7" name="Tekstvak 6">
          <a:extLst xmlns:a="http://schemas.openxmlformats.org/drawingml/2006/main">
            <a:ext uri="{FF2B5EF4-FFF2-40B4-BE49-F238E27FC236}">
              <a16:creationId xmlns:a16="http://schemas.microsoft.com/office/drawing/2014/main" id="{0B8D2C70-2470-48C6-BF51-838A130EB4DA}"/>
            </a:ext>
          </a:extLst>
        </cdr:cNvPr>
        <cdr:cNvSpPr txBox="1"/>
      </cdr:nvSpPr>
      <cdr:spPr>
        <a:xfrm xmlns:a="http://schemas.openxmlformats.org/drawingml/2006/main">
          <a:off x="7447340" y="6855266"/>
          <a:ext cx="867984" cy="34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400"/>
            <a:t>d</a:t>
          </a:r>
          <a:r>
            <a:rPr lang="nl-NL" sz="1400" i="1"/>
            <a:t>N</a:t>
          </a:r>
          <a:r>
            <a:rPr lang="nl-NL" sz="1400"/>
            <a:t>(t)/dt</a:t>
          </a:r>
        </a:p>
      </cdr:txBody>
    </cdr:sp>
  </cdr:relSizeAnchor>
  <cdr:relSizeAnchor xmlns:cdr="http://schemas.openxmlformats.org/drawingml/2006/chartDrawing">
    <cdr:from>
      <cdr:x>0.79668</cdr:x>
      <cdr:y>0.53541</cdr:y>
    </cdr:from>
    <cdr:to>
      <cdr:x>0.84258</cdr:x>
      <cdr:y>0.54898</cdr:y>
    </cdr:to>
    <cdr:sp macro="" textlink="">
      <cdr:nvSpPr>
        <cdr:cNvPr id="9" name="Pijl: rechts 8">
          <a:extLst xmlns:a="http://schemas.openxmlformats.org/drawingml/2006/main">
            <a:ext uri="{FF2B5EF4-FFF2-40B4-BE49-F238E27FC236}">
              <a16:creationId xmlns:a16="http://schemas.microsoft.com/office/drawing/2014/main" id="{34D4B1BB-5EE3-4245-8AE8-477BA9061741}"/>
            </a:ext>
          </a:extLst>
        </cdr:cNvPr>
        <cdr:cNvSpPr/>
      </cdr:nvSpPr>
      <cdr:spPr>
        <a:xfrm xmlns:a="http://schemas.openxmlformats.org/drawingml/2006/main">
          <a:off x="8256169" y="5089576"/>
          <a:ext cx="475671" cy="128996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0.79908</cdr:x>
      <cdr:y>0.73043</cdr:y>
    </cdr:from>
    <cdr:to>
      <cdr:x>0.84498</cdr:x>
      <cdr:y>0.74399</cdr:y>
    </cdr:to>
    <cdr:sp macro="" textlink="">
      <cdr:nvSpPr>
        <cdr:cNvPr id="10" name="Pijl: rechts 9">
          <a:extLst xmlns:a="http://schemas.openxmlformats.org/drawingml/2006/main">
            <a:ext uri="{FF2B5EF4-FFF2-40B4-BE49-F238E27FC236}">
              <a16:creationId xmlns:a16="http://schemas.microsoft.com/office/drawing/2014/main" id="{44BF0DE4-E400-4A1F-9504-B5FA908D099C}"/>
            </a:ext>
          </a:extLst>
        </cdr:cNvPr>
        <cdr:cNvSpPr/>
      </cdr:nvSpPr>
      <cdr:spPr>
        <a:xfrm xmlns:a="http://schemas.openxmlformats.org/drawingml/2006/main">
          <a:off x="8281044" y="6943435"/>
          <a:ext cx="475671" cy="128900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0.62902</cdr:x>
      <cdr:y>0.46064</cdr:y>
    </cdr:from>
    <cdr:to>
      <cdr:x>0.70306</cdr:x>
      <cdr:y>0.48479</cdr:y>
    </cdr:to>
    <cdr:sp macro="" textlink="">
      <cdr:nvSpPr>
        <cdr:cNvPr id="12" name="Tekstvak 11">
          <a:extLst xmlns:a="http://schemas.openxmlformats.org/drawingml/2006/main">
            <a:ext uri="{FF2B5EF4-FFF2-40B4-BE49-F238E27FC236}">
              <a16:creationId xmlns:a16="http://schemas.microsoft.com/office/drawing/2014/main" id="{125E03A2-53A0-4A40-9274-553006C607DE}"/>
            </a:ext>
          </a:extLst>
        </cdr:cNvPr>
        <cdr:cNvSpPr txBox="1"/>
      </cdr:nvSpPr>
      <cdr:spPr>
        <a:xfrm xmlns:a="http://schemas.openxmlformats.org/drawingml/2006/main">
          <a:off x="7768130" y="4905374"/>
          <a:ext cx="9144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400"/>
        </a:p>
      </cdr:txBody>
    </cdr:sp>
  </cdr:relSizeAnchor>
  <cdr:relSizeAnchor xmlns:cdr="http://schemas.openxmlformats.org/drawingml/2006/chartDrawing">
    <cdr:from>
      <cdr:x>0.62207</cdr:x>
      <cdr:y>0.47496</cdr:y>
    </cdr:from>
    <cdr:to>
      <cdr:x>0.69612</cdr:x>
      <cdr:y>0.51968</cdr:y>
    </cdr:to>
    <cdr:sp macro="" textlink="">
      <cdr:nvSpPr>
        <cdr:cNvPr id="13" name="Tekstvak 12">
          <a:extLst xmlns:a="http://schemas.openxmlformats.org/drawingml/2006/main">
            <a:ext uri="{FF2B5EF4-FFF2-40B4-BE49-F238E27FC236}">
              <a16:creationId xmlns:a16="http://schemas.microsoft.com/office/drawing/2014/main" id="{80F90BAD-8FD6-4C27-B111-C9E2CBAF5A62}"/>
            </a:ext>
          </a:extLst>
        </cdr:cNvPr>
        <cdr:cNvSpPr txBox="1"/>
      </cdr:nvSpPr>
      <cdr:spPr>
        <a:xfrm xmlns:a="http://schemas.openxmlformats.org/drawingml/2006/main">
          <a:off x="7682405" y="5057774"/>
          <a:ext cx="9144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0.74153</cdr:x>
      <cdr:y>0.5237</cdr:y>
    </cdr:from>
    <cdr:to>
      <cdr:x>0.79136</cdr:x>
      <cdr:y>0.5559</cdr:y>
    </cdr:to>
    <cdr:sp macro="" textlink="">
      <cdr:nvSpPr>
        <cdr:cNvPr id="14" name="Tekstvak 13">
          <a:extLst xmlns:a="http://schemas.openxmlformats.org/drawingml/2006/main">
            <a:ext uri="{FF2B5EF4-FFF2-40B4-BE49-F238E27FC236}">
              <a16:creationId xmlns:a16="http://schemas.microsoft.com/office/drawing/2014/main" id="{1C40A6B9-C616-470F-8445-82600C773385}"/>
            </a:ext>
          </a:extLst>
        </cdr:cNvPr>
        <cdr:cNvSpPr txBox="1"/>
      </cdr:nvSpPr>
      <cdr:spPr>
        <a:xfrm xmlns:a="http://schemas.openxmlformats.org/drawingml/2006/main">
          <a:off x="7684633" y="4978299"/>
          <a:ext cx="516391" cy="306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400"/>
            <a:t>B(t)</a:t>
          </a:r>
        </a:p>
      </cdr:txBody>
    </cdr:sp>
  </cdr:relSizeAnchor>
  <cdr:relSizeAnchor xmlns:cdr="http://schemas.openxmlformats.org/drawingml/2006/chartDrawing">
    <cdr:from>
      <cdr:x>0.61513</cdr:x>
      <cdr:y>0.82648</cdr:y>
    </cdr:from>
    <cdr:to>
      <cdr:x>0.66449</cdr:x>
      <cdr:y>0.86404</cdr:y>
    </cdr:to>
    <cdr:sp macro="" textlink="">
      <cdr:nvSpPr>
        <cdr:cNvPr id="15" name="Tekstvak 14">
          <a:extLst xmlns:a="http://schemas.openxmlformats.org/drawingml/2006/main">
            <a:ext uri="{FF2B5EF4-FFF2-40B4-BE49-F238E27FC236}">
              <a16:creationId xmlns:a16="http://schemas.microsoft.com/office/drawing/2014/main" id="{30CA86E0-9F54-403B-9286-FE287A35551E}"/>
            </a:ext>
          </a:extLst>
        </cdr:cNvPr>
        <cdr:cNvSpPr txBox="1"/>
      </cdr:nvSpPr>
      <cdr:spPr>
        <a:xfrm xmlns:a="http://schemas.openxmlformats.org/drawingml/2006/main">
          <a:off x="7596680" y="8801100"/>
          <a:ext cx="6096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400"/>
        </a:p>
      </cdr:txBody>
    </cdr:sp>
  </cdr:relSizeAnchor>
  <cdr:relSizeAnchor xmlns:cdr="http://schemas.openxmlformats.org/drawingml/2006/chartDrawing">
    <cdr:from>
      <cdr:x>0.8334</cdr:x>
      <cdr:y>0.94097</cdr:y>
    </cdr:from>
    <cdr:to>
      <cdr:x>0.9491</cdr:x>
      <cdr:y>0.98927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EA11A559-3AB0-4420-B286-F0D58AEF9F6E}"/>
            </a:ext>
          </a:extLst>
        </cdr:cNvPr>
        <cdr:cNvSpPr txBox="1"/>
      </cdr:nvSpPr>
      <cdr:spPr>
        <a:xfrm xmlns:a="http://schemas.openxmlformats.org/drawingml/2006/main">
          <a:off x="10292255" y="10020300"/>
          <a:ext cx="142875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6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4</xdr:row>
      <xdr:rowOff>95250</xdr:rowOff>
    </xdr:from>
    <xdr:to>
      <xdr:col>16</xdr:col>
      <xdr:colOff>571501</xdr:colOff>
      <xdr:row>49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82B8524-5229-4F9C-966D-C81A7F0F9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0.46188</cdr:x>
      <cdr:y>0.32733</cdr:y>
    </cdr:from>
    <cdr:to>
      <cdr:x>0.61915</cdr:x>
      <cdr:y>0.53326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A5296609-72DF-4F0C-AF08-154D7DC25D0D}"/>
            </a:ext>
          </a:extLst>
        </cdr:cNvPr>
        <cdr:cNvSpPr txBox="1"/>
      </cdr:nvSpPr>
      <cdr:spPr>
        <a:xfrm xmlns:a="http://schemas.openxmlformats.org/drawingml/2006/main">
          <a:off x="4478594" y="2812309"/>
          <a:ext cx="1524961" cy="1769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100" i="1"/>
            <a:t>Average Decay Times</a:t>
          </a:r>
          <a:br>
            <a:rPr lang="nl-NL" sz="1100" i="1"/>
          </a:br>
          <a:br>
            <a:rPr lang="nl-NL" sz="1100" i="1"/>
          </a:br>
          <a:r>
            <a:rPr lang="nl-NL" sz="1100" i="1"/>
            <a:t>T = 61 years</a:t>
          </a:r>
        </a:p>
        <a:p xmlns:a="http://schemas.openxmlformats.org/drawingml/2006/main">
          <a:endParaRPr lang="nl-NL" sz="1100" i="1"/>
        </a:p>
        <a:p xmlns:a="http://schemas.openxmlformats.org/drawingml/2006/main">
          <a:r>
            <a:rPr lang="nl-NL" sz="1100" i="1"/>
            <a:t>T = 54 years</a:t>
          </a:r>
        </a:p>
        <a:p xmlns:a="http://schemas.openxmlformats.org/drawingml/2006/main">
          <a:endParaRPr lang="nl-NL" sz="1100" i="1"/>
        </a:p>
        <a:p xmlns:a="http://schemas.openxmlformats.org/drawingml/2006/main">
          <a:r>
            <a:rPr lang="nl-NL" sz="1100" i="1"/>
            <a:t>T = 48 years</a:t>
          </a:r>
        </a:p>
      </cdr:txBody>
    </cdr:sp>
  </cdr:relSizeAnchor>
  <cdr:relSizeAnchor xmlns:cdr="http://schemas.openxmlformats.org/drawingml/2006/chartDrawing">
    <cdr:from>
      <cdr:x>0.84512</cdr:x>
      <cdr:y>0.90866</cdr:y>
    </cdr:from>
    <cdr:to>
      <cdr:x>0.92137</cdr:x>
      <cdr:y>1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0BABEAE8-2168-402E-AB8E-C45A4AC896BD}"/>
            </a:ext>
          </a:extLst>
        </cdr:cNvPr>
        <cdr:cNvSpPr txBox="1"/>
      </cdr:nvSpPr>
      <cdr:spPr>
        <a:xfrm xmlns:a="http://schemas.openxmlformats.org/drawingml/2006/main">
          <a:off x="10134600" y="91630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0.07662</cdr:x>
      <cdr:y>0.01109</cdr:y>
    </cdr:from>
    <cdr:to>
      <cdr:x>0.90275</cdr:x>
      <cdr:y>0.11752</cdr:y>
    </cdr:to>
    <cdr:sp macro="" textlink="">
      <cdr:nvSpPr>
        <cdr:cNvPr id="4" name="Tekstvak 3">
          <a:extLst xmlns:a="http://schemas.openxmlformats.org/drawingml/2006/main">
            <a:ext uri="{FF2B5EF4-FFF2-40B4-BE49-F238E27FC236}">
              <a16:creationId xmlns:a16="http://schemas.microsoft.com/office/drawing/2014/main" id="{B67B8B67-F7B6-40EF-8D00-AC6FF1D88632}"/>
            </a:ext>
          </a:extLst>
        </cdr:cNvPr>
        <cdr:cNvSpPr txBox="1"/>
      </cdr:nvSpPr>
      <cdr:spPr>
        <a:xfrm xmlns:a="http://schemas.openxmlformats.org/drawingml/2006/main">
          <a:off x="742948" y="95250"/>
          <a:ext cx="801052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lvl="0" algn="l" rtl="0"/>
          <a:r>
            <a:rPr lang="en-US" sz="1600" b="0" i="0" baseline="0">
              <a:effectLst/>
              <a:latin typeface="+mn-lt"/>
              <a:ea typeface="+mn-ea"/>
              <a:cs typeface="+mn-cs"/>
            </a:rPr>
            <a:t>Fig. 3    </a:t>
          </a:r>
          <a:r>
            <a:rPr lang="en-US" sz="1600" b="0" i="1" baseline="0">
              <a:effectLst/>
              <a:latin typeface="+mn-lt"/>
              <a:ea typeface="+mn-ea"/>
              <a:cs typeface="+mn-cs"/>
            </a:rPr>
            <a:t>Calculated decay time T= {N(t)-N(0)}/{B(t) - dN(t)/dt} for 3 different values of N(0) and</a:t>
          </a:r>
          <a:br>
            <a:rPr lang="en-US" sz="1600" b="0" i="1" baseline="0">
              <a:effectLst/>
              <a:latin typeface="+mn-lt"/>
              <a:ea typeface="+mn-ea"/>
              <a:cs typeface="+mn-cs"/>
            </a:rPr>
          </a:br>
          <a:r>
            <a:rPr lang="en-US" sz="1600" b="0" i="1" baseline="0">
              <a:effectLst/>
              <a:latin typeface="+mn-lt"/>
              <a:ea typeface="+mn-ea"/>
              <a:cs typeface="+mn-cs"/>
            </a:rPr>
            <a:t>               based upon polynomials curve-fitted to the Mauna Loa data for the CO</a:t>
          </a:r>
          <a:r>
            <a:rPr lang="en-US" sz="1600" b="0" i="1" baseline="-25000">
              <a:effectLst/>
              <a:latin typeface="+mn-lt"/>
              <a:ea typeface="+mn-ea"/>
              <a:cs typeface="+mn-cs"/>
            </a:rPr>
            <a:t>2 </a:t>
          </a:r>
          <a:r>
            <a:rPr lang="en-US" sz="1600" b="0" i="1" baseline="0">
              <a:effectLst/>
              <a:latin typeface="+mn-lt"/>
              <a:ea typeface="+mn-ea"/>
              <a:cs typeface="+mn-cs"/>
            </a:rPr>
            <a:t>concentration </a:t>
          </a:r>
          <a:br>
            <a:rPr lang="en-US" sz="1600" b="0" i="1" baseline="0">
              <a:effectLst/>
              <a:latin typeface="+mn-lt"/>
              <a:ea typeface="+mn-ea"/>
              <a:cs typeface="+mn-cs"/>
            </a:rPr>
          </a:br>
          <a:r>
            <a:rPr lang="en-US" sz="1600" b="0" i="1" baseline="0">
              <a:effectLst/>
              <a:latin typeface="+mn-lt"/>
              <a:ea typeface="+mn-ea"/>
              <a:cs typeface="+mn-cs"/>
            </a:rPr>
            <a:t>               and fossil fuel emission data B(t) for the period 1960-2020</a:t>
          </a:r>
          <a:endParaRPr lang="nl-NL" sz="1600">
            <a:effectLst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200026</xdr:colOff>
      <xdr:row>2</xdr:row>
      <xdr:rowOff>104775</xdr:rowOff>
    </xdr:from>
    <xdr:to>
      <xdr:col>65</xdr:col>
      <xdr:colOff>28575</xdr:colOff>
      <xdr:row>37</xdr:row>
      <xdr:rowOff>95250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40C3CDC-C687-4AFA-8A2D-74BFBEF2C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0.89136</cdr:x>
      <cdr:y>0.92048</cdr:y>
    </cdr:from>
    <cdr:to>
      <cdr:x>1</cdr:x>
      <cdr:y>1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2690BA50-E20B-4BD4-A6C8-A4DB1D27E718}"/>
            </a:ext>
          </a:extLst>
        </cdr:cNvPr>
        <cdr:cNvSpPr txBox="1"/>
      </cdr:nvSpPr>
      <cdr:spPr>
        <a:xfrm xmlns:a="http://schemas.openxmlformats.org/drawingml/2006/main">
          <a:off x="10315575" y="9592349"/>
          <a:ext cx="1257300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0.07899</cdr:x>
      <cdr:y>0.02146</cdr:y>
    </cdr:from>
    <cdr:to>
      <cdr:x>0.93364</cdr:x>
      <cdr:y>0.13118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0267342E-9A71-43F7-AAC9-08F9AE875239}"/>
            </a:ext>
          </a:extLst>
        </cdr:cNvPr>
        <cdr:cNvSpPr txBox="1"/>
      </cdr:nvSpPr>
      <cdr:spPr>
        <a:xfrm xmlns:a="http://schemas.openxmlformats.org/drawingml/2006/main">
          <a:off x="805000" y="142876"/>
          <a:ext cx="8710474" cy="73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800" b="0" i="0" baseline="0">
              <a:effectLst/>
              <a:latin typeface="+mn-lt"/>
              <a:ea typeface="+mn-ea"/>
              <a:cs typeface="+mn-cs"/>
            </a:rPr>
            <a:t>Fig.5    </a:t>
          </a:r>
          <a:r>
            <a:rPr lang="en-US" sz="1800" i="1">
              <a:effectLst/>
            </a:rPr>
            <a:t>Differce between the reconstructed (up &amp; down averaged) CO</a:t>
          </a:r>
          <a:r>
            <a:rPr lang="en-US" sz="1800" i="1" baseline="-25000">
              <a:effectLst/>
            </a:rPr>
            <a:t>2</a:t>
          </a:r>
          <a:r>
            <a:rPr lang="en-US" sz="1800" i="1">
              <a:effectLst/>
            </a:rPr>
            <a:t> concentrations C(t) </a:t>
          </a:r>
        </a:p>
        <a:p xmlns:a="http://schemas.openxmlformats.org/drawingml/2006/main">
          <a:pPr rtl="0"/>
          <a:r>
            <a:rPr lang="en-US" sz="1800" i="1" baseline="0">
              <a:effectLst/>
            </a:rPr>
            <a:t>             </a:t>
          </a:r>
          <a:r>
            <a:rPr lang="en-US" sz="1800" i="1">
              <a:effectLst/>
            </a:rPr>
            <a:t>as based on the fossil fuel emission data B(t), and the Mauna Loa observations N(t)</a:t>
          </a:r>
          <a:r>
            <a:rPr lang="en-US" sz="1800" b="0" i="1" baseline="0">
              <a:effectLst/>
              <a:latin typeface="+mn-lt"/>
              <a:ea typeface="+mn-ea"/>
              <a:cs typeface="+mn-cs"/>
            </a:rPr>
            <a:t> </a:t>
          </a:r>
          <a:endParaRPr lang="nl-NL" sz="1800" i="1"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208848</xdr:colOff>
      <xdr:row>0</xdr:row>
      <xdr:rowOff>92429</xdr:rowOff>
    </xdr:from>
    <xdr:to>
      <xdr:col>22</xdr:col>
      <xdr:colOff>180976</xdr:colOff>
      <xdr:row>54</xdr:row>
      <xdr:rowOff>142875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D59707D-5A0E-4B94-9F7A-E8A78F94A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133350</xdr:colOff>
      <xdr:row>32</xdr:row>
      <xdr:rowOff>0</xdr:rowOff>
    </xdr:from>
    <xdr:to>
      <xdr:col>28</xdr:col>
      <xdr:colOff>304800</xdr:colOff>
      <xdr:row>39</xdr:row>
      <xdr:rowOff>95250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F27D31CE-3120-45C7-9348-4EC816D1E193}"/>
            </a:ext>
          </a:extLst>
        </xdr:cNvPr>
        <xdr:cNvSpPr txBox="1"/>
      </xdr:nvSpPr>
      <xdr:spPr>
        <a:xfrm>
          <a:off x="14763750" y="6096000"/>
          <a:ext cx="260985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0.00499</cdr:x>
      <cdr:y>0.00581</cdr:y>
    </cdr:from>
    <cdr:to>
      <cdr:x>0.05441</cdr:x>
      <cdr:y>0.03275</cdr:y>
    </cdr:to>
    <cdr:sp macro="" textlink="">
      <cdr:nvSpPr>
        <cdr:cNvPr id="7" name="Tekstvak 1">
          <a:extLst xmlns:a="http://schemas.openxmlformats.org/drawingml/2006/main">
            <a:ext uri="{FF2B5EF4-FFF2-40B4-BE49-F238E27FC236}">
              <a16:creationId xmlns:a16="http://schemas.microsoft.com/office/drawing/2014/main" id="{BEFED8DD-AA2D-48B4-BF35-2A473D2FB4D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03006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0.09527</cdr:x>
      <cdr:y>0.23083</cdr:y>
    </cdr:from>
    <cdr:to>
      <cdr:x>0.33608</cdr:x>
      <cdr:y>0.33859</cdr:y>
    </cdr:to>
    <cdr:sp macro="" textlink="">
      <cdr:nvSpPr>
        <cdr:cNvPr id="11" name="Tekstvak 10">
          <a:extLst xmlns:a="http://schemas.openxmlformats.org/drawingml/2006/main">
            <a:ext uri="{FF2B5EF4-FFF2-40B4-BE49-F238E27FC236}">
              <a16:creationId xmlns:a16="http://schemas.microsoft.com/office/drawing/2014/main" id="{BBD5C92E-646D-4F98-8D5C-BCE004C957DC}"/>
            </a:ext>
          </a:extLst>
        </cdr:cNvPr>
        <cdr:cNvSpPr txBox="1"/>
      </cdr:nvSpPr>
      <cdr:spPr>
        <a:xfrm xmlns:a="http://schemas.openxmlformats.org/drawingml/2006/main">
          <a:off x="1275075" y="2386217"/>
          <a:ext cx="3222840" cy="1113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400">
              <a:solidFill>
                <a:sysClr val="windowText" lastClr="000000"/>
              </a:solidFill>
            </a:rPr>
            <a:t>Decay time  T = 53.5</a:t>
          </a:r>
          <a:r>
            <a:rPr lang="nl-NL" sz="1400" baseline="0">
              <a:solidFill>
                <a:sysClr val="windowText" lastClr="000000"/>
              </a:solidFill>
            </a:rPr>
            <a:t> year</a:t>
          </a:r>
          <a:endParaRPr lang="nl-NL" sz="1400">
            <a:solidFill>
              <a:sysClr val="windowText" lastClr="000000"/>
            </a:solidFill>
          </a:endParaRPr>
        </a:p>
        <a:p xmlns:a="http://schemas.openxmlformats.org/drawingml/2006/main">
          <a:r>
            <a:rPr lang="nl-NL" sz="1400">
              <a:solidFill>
                <a:sysClr val="windowText" lastClr="000000"/>
              </a:solidFill>
            </a:rPr>
            <a:t>N(0)                 = 287 ppm</a:t>
          </a:r>
        </a:p>
        <a:p xmlns:a="http://schemas.openxmlformats.org/drawingml/2006/main">
          <a:r>
            <a:rPr lang="nl-NL" sz="1400">
              <a:solidFill>
                <a:sysClr val="windowText" lastClr="000000"/>
              </a:solidFill>
            </a:rPr>
            <a:t>N(2020)          = 413 ppm</a:t>
          </a:r>
        </a:p>
        <a:p xmlns:a="http://schemas.openxmlformats.org/drawingml/2006/main">
          <a:r>
            <a:rPr lang="nl-NL" sz="1400">
              <a:solidFill>
                <a:sysClr val="windowText" lastClr="000000"/>
              </a:solidFill>
            </a:rPr>
            <a:t>TCR                 =</a:t>
          </a:r>
          <a:r>
            <a:rPr lang="nl-NL" sz="1400" baseline="0">
              <a:solidFill>
                <a:sysClr val="windowText" lastClr="000000"/>
              </a:solidFill>
            </a:rPr>
            <a:t> 2.0 </a:t>
          </a:r>
          <a:r>
            <a:rPr lang="nl-NL" sz="1400" baseline="30000">
              <a:solidFill>
                <a:sysClr val="windowText" lastClr="000000"/>
              </a:solidFill>
            </a:rPr>
            <a:t>o</a:t>
          </a:r>
          <a:r>
            <a:rPr lang="nl-NL" sz="1400" baseline="0">
              <a:solidFill>
                <a:sysClr val="windowText" lastClr="000000"/>
              </a:solidFill>
            </a:rPr>
            <a:t>C/2x CO</a:t>
          </a:r>
          <a:r>
            <a:rPr lang="nl-NL" sz="1400" baseline="-25000">
              <a:solidFill>
                <a:sysClr val="windowText" lastClr="000000"/>
              </a:solidFill>
            </a:rPr>
            <a:t>2</a:t>
          </a:r>
        </a:p>
      </cdr:txBody>
    </cdr:sp>
  </cdr:relSizeAnchor>
  <cdr:relSizeAnchor xmlns:cdr="http://schemas.openxmlformats.org/drawingml/2006/chartDrawing">
    <cdr:from>
      <cdr:x>0.78208</cdr:x>
      <cdr:y>0.89035</cdr:y>
    </cdr:from>
    <cdr:to>
      <cdr:x>0.91885</cdr:x>
      <cdr:y>0.95209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B190B1A0-0B84-40C8-B9FB-2864E13570EB}"/>
            </a:ext>
          </a:extLst>
        </cdr:cNvPr>
        <cdr:cNvSpPr txBox="1"/>
      </cdr:nvSpPr>
      <cdr:spPr>
        <a:xfrm xmlns:a="http://schemas.openxmlformats.org/drawingml/2006/main">
          <a:off x="11383078" y="9203971"/>
          <a:ext cx="199072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0.04233</cdr:x>
      <cdr:y>0.02795</cdr:y>
    </cdr:from>
    <cdr:to>
      <cdr:x>0.92669</cdr:x>
      <cdr:y>0.14033</cdr:y>
    </cdr:to>
    <cdr:sp macro="" textlink="">
      <cdr:nvSpPr>
        <cdr:cNvPr id="8" name="Tekstvak 1">
          <a:extLst xmlns:a="http://schemas.openxmlformats.org/drawingml/2006/main">
            <a:ext uri="{FF2B5EF4-FFF2-40B4-BE49-F238E27FC236}">
              <a16:creationId xmlns:a16="http://schemas.microsoft.com/office/drawing/2014/main" id="{67406D22-AEC7-4349-B463-D069730318F0}"/>
            </a:ext>
          </a:extLst>
        </cdr:cNvPr>
        <cdr:cNvSpPr txBox="1"/>
      </cdr:nvSpPr>
      <cdr:spPr>
        <a:xfrm xmlns:a="http://schemas.openxmlformats.org/drawingml/2006/main">
          <a:off x="566517" y="288925"/>
          <a:ext cx="11835736" cy="1161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0" i="0" baseline="0">
              <a:effectLst/>
              <a:latin typeface="+mn-lt"/>
              <a:ea typeface="+mn-ea"/>
              <a:cs typeface="+mn-cs"/>
            </a:rPr>
            <a:t>Fig. 7    </a:t>
          </a:r>
          <a:r>
            <a:rPr lang="en-US" sz="1800" b="0" i="1" baseline="0">
              <a:effectLst/>
              <a:latin typeface="+mn-lt"/>
              <a:ea typeface="+mn-ea"/>
              <a:cs typeface="+mn-cs"/>
            </a:rPr>
            <a:t>Projection of the development of the atmospheric CO</a:t>
          </a:r>
          <a:r>
            <a:rPr lang="en-US" sz="1800" b="0" i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800" b="0" i="1" baseline="0">
              <a:effectLst/>
              <a:latin typeface="+mn-lt"/>
              <a:ea typeface="+mn-ea"/>
              <a:cs typeface="+mn-cs"/>
            </a:rPr>
            <a:t> concentration for a varity of scenarios for the annual fossil fuel </a:t>
          </a:r>
          <a:br>
            <a:rPr lang="en-US" sz="1800" b="0" i="1" baseline="0">
              <a:effectLst/>
              <a:latin typeface="+mn-lt"/>
              <a:ea typeface="+mn-ea"/>
              <a:cs typeface="+mn-cs"/>
            </a:rPr>
          </a:br>
          <a:r>
            <a:rPr lang="en-US" sz="1800" b="0" i="1" baseline="0">
              <a:effectLst/>
              <a:latin typeface="+mn-lt"/>
              <a:ea typeface="+mn-ea"/>
              <a:cs typeface="+mn-cs"/>
            </a:rPr>
            <a:t>              emissions and the corresponding </a:t>
          </a:r>
          <a:r>
            <a:rPr lang="el-GR" sz="1800" b="0" i="1" baseline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en-US" sz="1800" b="0" i="1" baseline="0">
              <a:effectLst/>
              <a:latin typeface="+mn-lt"/>
              <a:ea typeface="+mn-ea"/>
              <a:cs typeface="+mn-cs"/>
            </a:rPr>
            <a:t>T</a:t>
          </a:r>
          <a:r>
            <a:rPr lang="en-US" sz="1800" b="0" i="1" baseline="-25000">
              <a:effectLst/>
              <a:latin typeface="+mn-lt"/>
              <a:ea typeface="+mn-ea"/>
              <a:cs typeface="+mn-cs"/>
            </a:rPr>
            <a:t>s</a:t>
          </a:r>
          <a:r>
            <a:rPr lang="en-US" sz="1800" b="0" i="1" baseline="0">
              <a:effectLst/>
              <a:latin typeface="+mn-lt"/>
              <a:ea typeface="+mn-ea"/>
              <a:cs typeface="+mn-cs"/>
            </a:rPr>
            <a:t> temperature development based on a TCR = 2 </a:t>
          </a:r>
          <a:r>
            <a:rPr lang="en-US" sz="1800" b="0" i="1" baseline="30000">
              <a:effectLst/>
              <a:latin typeface="+mn-lt"/>
              <a:ea typeface="+mn-ea"/>
              <a:cs typeface="+mn-cs"/>
            </a:rPr>
            <a:t>o</a:t>
          </a:r>
          <a:r>
            <a:rPr lang="en-US" sz="1800" b="0" i="1" baseline="0">
              <a:effectLst/>
              <a:latin typeface="+mn-lt"/>
              <a:ea typeface="+mn-ea"/>
              <a:cs typeface="+mn-cs"/>
            </a:rPr>
            <a:t>C/2x CO</a:t>
          </a:r>
          <a:r>
            <a:rPr lang="en-US" sz="1800" b="0" i="1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800" b="0" i="1" baseline="0">
              <a:effectLst/>
              <a:latin typeface="+mn-lt"/>
              <a:ea typeface="+mn-ea"/>
              <a:cs typeface="+mn-cs"/>
            </a:rPr>
            <a:t> concentration</a:t>
          </a:r>
          <a:endParaRPr lang="nl-NL" sz="1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8B09-67CE-441B-8ABC-6D61097DA31A}">
  <dimension ref="A1:AQ104"/>
  <sheetViews>
    <sheetView tabSelected="1" topLeftCell="I1" zoomScaleNormal="100" workbookViewId="0">
      <selection activeCell="Q70" sqref="Q70"/>
    </sheetView>
  </sheetViews>
  <sheetFormatPr defaultRowHeight="15" x14ac:dyDescent="0.25"/>
  <cols>
    <col min="1" max="1" width="10.28515625" style="25" customWidth="1"/>
    <col min="2" max="2" width="15.7109375" style="8" customWidth="1"/>
    <col min="3" max="3" width="15.7109375" style="17" customWidth="1"/>
    <col min="4" max="4" width="15.7109375" style="3" customWidth="1"/>
    <col min="5" max="5" width="5.7109375" style="8" customWidth="1"/>
    <col min="6" max="6" width="15.7109375" style="25" customWidth="1"/>
    <col min="7" max="8" width="15.7109375" style="15" customWidth="1"/>
    <col min="9" max="9" width="5.7109375" style="3" customWidth="1"/>
    <col min="10" max="10" width="12.7109375" style="44" customWidth="1"/>
    <col min="11" max="11" width="12.7109375" style="46" customWidth="1"/>
    <col min="12" max="12" width="12.7109375" style="44" customWidth="1"/>
    <col min="13" max="13" width="5.7109375" style="44" customWidth="1"/>
    <col min="14" max="14" width="12.7109375" style="30" customWidth="1"/>
    <col min="15" max="15" width="10.85546875" customWidth="1"/>
    <col min="16" max="19" width="12.7109375" customWidth="1"/>
    <col min="20" max="20" width="4.140625" customWidth="1"/>
    <col min="21" max="21" width="5.7109375" customWidth="1"/>
    <col min="22" max="22" width="10.7109375" style="6" bestFit="1" customWidth="1"/>
    <col min="23" max="26" width="12.7109375" customWidth="1"/>
    <col min="27" max="27" width="12.28515625" style="22" customWidth="1"/>
    <col min="28" max="31" width="12.7109375" customWidth="1"/>
    <col min="32" max="32" width="4.85546875" customWidth="1"/>
    <col min="33" max="33" width="13.140625" customWidth="1"/>
    <col min="34" max="34" width="14.85546875" customWidth="1"/>
  </cols>
  <sheetData>
    <row r="1" spans="1:43" ht="127.5" customHeight="1" x14ac:dyDescent="0.25">
      <c r="A1" s="115" t="s">
        <v>23</v>
      </c>
      <c r="B1" s="181" t="s">
        <v>50</v>
      </c>
      <c r="C1" s="181"/>
      <c r="D1" s="181"/>
      <c r="F1" s="182" t="s">
        <v>51</v>
      </c>
      <c r="G1" s="182"/>
      <c r="H1" s="182"/>
      <c r="J1" s="183" t="s">
        <v>52</v>
      </c>
      <c r="K1" s="183"/>
      <c r="L1" s="183"/>
      <c r="M1" s="46"/>
      <c r="N1" s="190" t="s">
        <v>32</v>
      </c>
      <c r="O1" s="190"/>
      <c r="P1" s="190"/>
      <c r="Q1" s="190"/>
      <c r="R1" s="191" t="s">
        <v>29</v>
      </c>
      <c r="S1" s="191"/>
      <c r="T1" s="191"/>
      <c r="V1" s="115" t="s">
        <v>23</v>
      </c>
      <c r="W1" s="184" t="s">
        <v>54</v>
      </c>
      <c r="X1" s="184"/>
      <c r="Y1" s="184"/>
      <c r="Z1" s="184"/>
      <c r="AA1" s="116"/>
      <c r="AB1" s="188" t="s">
        <v>55</v>
      </c>
      <c r="AC1" s="188"/>
      <c r="AD1" s="188"/>
      <c r="AE1" s="188"/>
      <c r="AG1" s="187" t="s">
        <v>43</v>
      </c>
      <c r="AH1" s="187"/>
    </row>
    <row r="2" spans="1:43" s="1" customFormat="1" ht="182.25" customHeight="1" x14ac:dyDescent="0.25">
      <c r="A2" s="82" t="s">
        <v>1</v>
      </c>
      <c r="B2" s="11" t="s">
        <v>0</v>
      </c>
      <c r="C2" s="16" t="s">
        <v>3</v>
      </c>
      <c r="D2" s="9" t="s">
        <v>7</v>
      </c>
      <c r="E2" s="20"/>
      <c r="F2" s="81" t="s">
        <v>2</v>
      </c>
      <c r="G2" s="13" t="s">
        <v>8</v>
      </c>
      <c r="H2" s="18" t="s">
        <v>9</v>
      </c>
      <c r="I2" s="5"/>
      <c r="J2" s="80" t="s">
        <v>20</v>
      </c>
      <c r="K2" s="50" t="s">
        <v>21</v>
      </c>
      <c r="L2" s="80" t="s">
        <v>22</v>
      </c>
      <c r="M2" s="77"/>
      <c r="N2" s="154" t="s">
        <v>14</v>
      </c>
      <c r="O2" s="159" t="s">
        <v>16</v>
      </c>
      <c r="P2" s="156" t="s">
        <v>13</v>
      </c>
      <c r="Q2" s="103" t="s">
        <v>24</v>
      </c>
      <c r="R2" s="99" t="s">
        <v>53</v>
      </c>
      <c r="S2" s="103" t="s">
        <v>15</v>
      </c>
      <c r="T2" s="103"/>
      <c r="V2" s="72" t="s">
        <v>19</v>
      </c>
      <c r="W2" s="67" t="s">
        <v>10</v>
      </c>
      <c r="X2" s="62" t="s">
        <v>38</v>
      </c>
      <c r="Y2" s="57" t="s">
        <v>25</v>
      </c>
      <c r="Z2" s="52" t="s">
        <v>6</v>
      </c>
      <c r="AA2" s="37" t="s">
        <v>47</v>
      </c>
      <c r="AB2" s="67" t="s">
        <v>41</v>
      </c>
      <c r="AC2" s="62" t="s">
        <v>40</v>
      </c>
      <c r="AD2" s="57" t="s">
        <v>42</v>
      </c>
      <c r="AE2" s="52" t="s">
        <v>39</v>
      </c>
      <c r="AG2" s="109" t="s">
        <v>44</v>
      </c>
      <c r="AH2" s="111" t="s">
        <v>45</v>
      </c>
    </row>
    <row r="3" spans="1:43" s="4" customFormat="1" ht="14.45" customHeight="1" x14ac:dyDescent="0.25">
      <c r="A3" s="23">
        <v>1959</v>
      </c>
      <c r="B3" s="27">
        <v>315.97000000000003</v>
      </c>
      <c r="C3" s="26">
        <f xml:space="preserve"> 0.0000319288093078018*A3*A3*A3 - 0.17774891436507*A3*A3 + 329.705065874272*A3 - 203474.797812751</f>
        <v>315.1284936798329</v>
      </c>
      <c r="D3" s="10">
        <f xml:space="preserve"> 0.0000319288093078018*A3*A3*3 - 0.17774891436507*A3*2 + 329.705065874272</f>
        <v>0.88257389145007892</v>
      </c>
      <c r="F3" s="34">
        <v>2417.2400738251113</v>
      </c>
      <c r="G3" s="14">
        <f t="shared" ref="G3:G63" si="0">0.00047*F3</f>
        <v>1.1361028346978022</v>
      </c>
      <c r="H3" s="19">
        <f t="shared" ref="H3:H34" si="1" xml:space="preserve"> 0.000241618740624894*A3*A3 - 0.903329394008265*A3 + 843.650342191228</f>
        <v>1.2837094691208222</v>
      </c>
      <c r="I3" s="3"/>
      <c r="J3" s="48"/>
      <c r="K3" s="51"/>
      <c r="L3" s="47"/>
      <c r="M3" s="77"/>
      <c r="N3" s="154">
        <f>B3</f>
        <v>315.97000000000003</v>
      </c>
      <c r="O3" s="160"/>
      <c r="P3" s="59"/>
      <c r="Q3" s="104"/>
      <c r="R3" s="100"/>
      <c r="S3" s="104"/>
      <c r="T3" s="104"/>
      <c r="V3" s="73"/>
      <c r="W3" s="68"/>
      <c r="X3" s="64"/>
      <c r="Y3" s="59"/>
      <c r="Z3" s="54"/>
      <c r="AB3" s="68"/>
      <c r="AC3" s="63"/>
      <c r="AD3" s="58"/>
      <c r="AE3" s="53"/>
      <c r="AG3" s="110"/>
      <c r="AH3" s="112"/>
      <c r="AI3" s="5"/>
      <c r="AJ3" s="5"/>
      <c r="AK3" s="5"/>
      <c r="AL3" s="5"/>
      <c r="AM3" s="5"/>
      <c r="AN3" s="5"/>
      <c r="AO3" s="5"/>
      <c r="AP3" s="5"/>
      <c r="AQ3" s="5"/>
    </row>
    <row r="4" spans="1:43" ht="14.45" customHeight="1" x14ac:dyDescent="0.25">
      <c r="A4" s="24">
        <v>1960</v>
      </c>
      <c r="B4" s="27">
        <v>316.91000000000003</v>
      </c>
      <c r="C4" s="26">
        <f t="shared" ref="C4:C64" si="2" xml:space="preserve"> 0.0000319288093078018*A4*A4*A4 - 0.17774891436507*A4*A4 + 329.705065874272*A4 - 203474.797812751</f>
        <v>316.02099619802902</v>
      </c>
      <c r="D4" s="10">
        <f t="shared" ref="D4:D64" si="3" xml:space="preserve"> 0.0000319288093078018*A4*A4*3 - 0.17774891436507*A4*2 + 329.705065874272</f>
        <v>0.90246307375184642</v>
      </c>
      <c r="F4" s="34">
        <v>2550.2242462290897</v>
      </c>
      <c r="G4" s="14">
        <f t="shared" si="0"/>
        <v>1.1986053957276721</v>
      </c>
      <c r="H4" s="19">
        <f t="shared" si="1"/>
        <v>1.3272839196214363</v>
      </c>
      <c r="J4" s="48">
        <f>(C4-280)/(H4-D4)</f>
        <v>84.791027908001084</v>
      </c>
      <c r="K4" s="51">
        <f>(C4-287)/(H4-D4)</f>
        <v>68.313493747286103</v>
      </c>
      <c r="L4" s="47">
        <f>(C4-294)/(H4-D4)</f>
        <v>51.835959586571128</v>
      </c>
      <c r="M4" s="77"/>
      <c r="N4" s="155">
        <f t="shared" ref="N4:N35" si="4">N3+G3-(N3-$AD$70)/$AD$72</f>
        <v>316.56460750759504</v>
      </c>
      <c r="O4" s="161">
        <f>N4-P4</f>
        <v>-0.95288550210261747</v>
      </c>
      <c r="P4" s="157">
        <f t="shared" ref="P4:P35" si="5">$AD$72*(P5-G4-$AD$70/$AD$72)/($AD$72-1)</f>
        <v>317.51749300969766</v>
      </c>
      <c r="Q4" s="105">
        <f>(P4+N4)/2</f>
        <v>317.04105025864635</v>
      </c>
      <c r="R4" s="101">
        <f t="shared" ref="R4:R35" si="6">(B4-Q4)</f>
        <v>-0.1310502586463258</v>
      </c>
      <c r="S4" s="105">
        <f>R4*R4</f>
        <v>1.717417029126889E-2</v>
      </c>
      <c r="T4" s="105"/>
      <c r="V4" s="74">
        <v>2020</v>
      </c>
      <c r="W4" s="70">
        <v>413</v>
      </c>
      <c r="X4" s="65">
        <v>413</v>
      </c>
      <c r="Y4" s="60">
        <v>413</v>
      </c>
      <c r="Z4" s="55">
        <v>413</v>
      </c>
      <c r="AA4" s="15">
        <f t="shared" ref="AA4:AA35" si="7" xml:space="preserve"> $AD$74*LN(B4/$B$64)/LN(2)</f>
        <v>-0.76413719479400477</v>
      </c>
      <c r="AB4" s="69">
        <f t="shared" ref="AB4:AB35" si="8">$AD$74*LN(W4/413)/LN(2)</f>
        <v>0</v>
      </c>
      <c r="AC4" s="63">
        <f t="shared" ref="AC4:AC35" si="9">$AD$74*LN(X4/413)/LN(2)</f>
        <v>0</v>
      </c>
      <c r="AD4" s="58">
        <f t="shared" ref="AD4:AD35" si="10">$AD$74*LN(Y4/413)/LN(2)</f>
        <v>0</v>
      </c>
      <c r="AE4" s="53">
        <f t="shared" ref="AE4:AE35" si="11">$AD$74*LN(Z4/413)/LN(2)</f>
        <v>0</v>
      </c>
      <c r="AG4" s="110">
        <f>(B4-B3)/G4</f>
        <v>0.78424475924315751</v>
      </c>
      <c r="AH4" s="112">
        <f t="shared" ref="AH4:AH35" si="12">1-(Q4-$AD$70)/($AD$72*G4)</f>
        <v>0.53152642220115809</v>
      </c>
      <c r="AI4" s="2"/>
      <c r="AJ4" s="2"/>
      <c r="AK4" s="2"/>
      <c r="AL4" s="2"/>
      <c r="AM4" s="2"/>
      <c r="AN4" s="2"/>
      <c r="AO4" s="2"/>
      <c r="AP4" s="2"/>
      <c r="AQ4" s="2"/>
    </row>
    <row r="5" spans="1:43" ht="15.75" x14ac:dyDescent="0.25">
      <c r="A5" s="24">
        <f>A4+1</f>
        <v>1961</v>
      </c>
      <c r="B5" s="27">
        <v>317.64</v>
      </c>
      <c r="C5" s="26">
        <f t="shared" si="2"/>
        <v>316.93348368487204</v>
      </c>
      <c r="D5" s="10">
        <f t="shared" si="3"/>
        <v>0.92254382890928355</v>
      </c>
      <c r="F5" s="34">
        <v>2556.1831848758784</v>
      </c>
      <c r="G5" s="14">
        <f t="shared" si="0"/>
        <v>1.2014060968916629</v>
      </c>
      <c r="H5" s="19">
        <f t="shared" si="1"/>
        <v>1.3713416076033127</v>
      </c>
      <c r="J5" s="48">
        <f t="shared" ref="J5:J63" si="13">(C5-280)/(H5-D5)</f>
        <v>82.294265787914455</v>
      </c>
      <c r="K5" s="51">
        <f t="shared" ref="K5:K62" si="14">(C5-287)/(H5-D5)</f>
        <v>66.697040640389162</v>
      </c>
      <c r="L5" s="47">
        <f t="shared" ref="L5:L63" si="15">(C5-294)/(H5-D5)</f>
        <v>51.099815492863875</v>
      </c>
      <c r="M5" s="77"/>
      <c r="N5" s="155">
        <f t="shared" si="4"/>
        <v>317.21060341719942</v>
      </c>
      <c r="O5" s="161">
        <f t="shared" ref="O5:O63" si="16">N5-P5</f>
        <v>-0.93507455813812612</v>
      </c>
      <c r="P5" s="157">
        <f t="shared" si="5"/>
        <v>318.14567797533755</v>
      </c>
      <c r="Q5" s="105">
        <f t="shared" ref="Q5:Q63" si="17">(P5+N5)/2</f>
        <v>317.67814069626849</v>
      </c>
      <c r="R5" s="101">
        <f t="shared" si="6"/>
        <v>-3.8140696268499141E-2</v>
      </c>
      <c r="S5" s="105">
        <f t="shared" ref="S5:S63" si="18">R5*R5</f>
        <v>1.4547127118459044E-3</v>
      </c>
      <c r="T5" s="105"/>
      <c r="V5" s="74">
        <f>V4+1</f>
        <v>2021</v>
      </c>
      <c r="W5" s="71">
        <f t="shared" ref="W5:W36" si="19">W4+5*POWER(1.015,(V5-2020))-(W4-$AD$70)/$AD$72</f>
        <v>415.7198598130841</v>
      </c>
      <c r="X5" s="66">
        <f t="shared" ref="X5:X36" si="20">X4+5-(X4-$AD$70)/$AD$72</f>
        <v>415.64485981308411</v>
      </c>
      <c r="Y5" s="61">
        <f t="shared" ref="Y5:Y36" si="21">Y4+5*POWER(0.985,(V5-2020))-(Y4-$AD$70)/$AD$72</f>
        <v>415.56985981308412</v>
      </c>
      <c r="Z5" s="56">
        <f t="shared" ref="Z5:Z36" si="22">Z4-(Z4-$AD$70)/$AD$72</f>
        <v>410.64485981308411</v>
      </c>
      <c r="AA5" s="15">
        <f t="shared" si="7"/>
        <v>-0.75749836195523101</v>
      </c>
      <c r="AB5" s="69">
        <f t="shared" si="8"/>
        <v>1.8939777087684594E-2</v>
      </c>
      <c r="AC5" s="63">
        <f t="shared" si="9"/>
        <v>1.8419177039085553E-2</v>
      </c>
      <c r="AD5" s="58">
        <f t="shared" si="10"/>
        <v>1.7898483043633381E-2</v>
      </c>
      <c r="AE5" s="53">
        <f t="shared" si="11"/>
        <v>-1.6501084359815291E-2</v>
      </c>
      <c r="AG5" s="110">
        <f t="shared" ref="AG5:AG63" si="23">(B5-B4)/G5</f>
        <v>0.60762135458497624</v>
      </c>
      <c r="AH5" s="112">
        <f t="shared" si="12"/>
        <v>0.5227066084748142</v>
      </c>
      <c r="AI5" s="2"/>
      <c r="AJ5" s="2"/>
      <c r="AK5" s="2"/>
      <c r="AL5" s="2"/>
      <c r="AM5" s="2"/>
      <c r="AN5" s="2"/>
      <c r="AO5" s="2"/>
      <c r="AP5" s="2"/>
      <c r="AQ5" s="2"/>
    </row>
    <row r="6" spans="1:43" ht="15.75" x14ac:dyDescent="0.25">
      <c r="A6" s="24">
        <f t="shared" ref="A6:A64" si="24">A5+1</f>
        <v>1962</v>
      </c>
      <c r="B6" s="27">
        <v>318.45</v>
      </c>
      <c r="C6" s="26">
        <f t="shared" si="2"/>
        <v>317.86614771335735</v>
      </c>
      <c r="D6" s="10">
        <f t="shared" si="3"/>
        <v>0.94281615692261767</v>
      </c>
      <c r="F6" s="34">
        <v>2646.8975061055171</v>
      </c>
      <c r="G6" s="14">
        <f t="shared" si="0"/>
        <v>1.2440418278695931</v>
      </c>
      <c r="H6" s="19">
        <f t="shared" si="1"/>
        <v>1.4158825330666787</v>
      </c>
      <c r="J6" s="48">
        <f t="shared" si="13"/>
        <v>80.044047987519889</v>
      </c>
      <c r="K6" s="51">
        <f t="shared" si="14"/>
        <v>65.246970129108917</v>
      </c>
      <c r="L6" s="47">
        <f t="shared" si="15"/>
        <v>50.449892270697944</v>
      </c>
      <c r="M6" s="77"/>
      <c r="N6" s="155">
        <f t="shared" si="4"/>
        <v>317.84732533806869</v>
      </c>
      <c r="O6" s="161">
        <f t="shared" si="16"/>
        <v>-0.91759652901407662</v>
      </c>
      <c r="P6" s="157">
        <f t="shared" si="5"/>
        <v>318.76492186708276</v>
      </c>
      <c r="Q6" s="105">
        <f t="shared" si="17"/>
        <v>318.30612360257572</v>
      </c>
      <c r="R6" s="101">
        <f t="shared" si="6"/>
        <v>0.14387639742426472</v>
      </c>
      <c r="S6" s="105">
        <f t="shared" si="18"/>
        <v>2.070041773578497E-2</v>
      </c>
      <c r="T6" s="105"/>
      <c r="V6" s="74">
        <f t="shared" ref="V6:V64" si="25">V5+1</f>
        <v>2022</v>
      </c>
      <c r="W6" s="71">
        <f t="shared" si="19"/>
        <v>418.46500612498903</v>
      </c>
      <c r="X6" s="66">
        <f t="shared" si="20"/>
        <v>418.24028299414795</v>
      </c>
      <c r="Y6" s="61">
        <f t="shared" si="21"/>
        <v>418.01780986330687</v>
      </c>
      <c r="Z6" s="56">
        <f t="shared" si="22"/>
        <v>408.33374093807322</v>
      </c>
      <c r="AA6" s="15">
        <f t="shared" si="7"/>
        <v>-0.75014981936054792</v>
      </c>
      <c r="AB6" s="69">
        <f t="shared" si="8"/>
        <v>3.7930403404975686E-2</v>
      </c>
      <c r="AC6" s="63">
        <f t="shared" si="9"/>
        <v>3.6380481546231629E-2</v>
      </c>
      <c r="AD6" s="58">
        <f t="shared" si="10"/>
        <v>3.4845257466925544E-2</v>
      </c>
      <c r="AE6" s="53">
        <f t="shared" si="11"/>
        <v>-3.278599626112496E-2</v>
      </c>
      <c r="AG6" s="110">
        <f t="shared" si="23"/>
        <v>0.65110350942710482</v>
      </c>
      <c r="AH6" s="112">
        <f t="shared" si="12"/>
        <v>0.52962900786441169</v>
      </c>
      <c r="AI6" s="2"/>
      <c r="AJ6" s="2"/>
      <c r="AK6" s="2"/>
      <c r="AL6" s="2"/>
      <c r="AM6" s="2"/>
      <c r="AN6" s="2"/>
      <c r="AO6" s="2"/>
      <c r="AP6" s="2"/>
      <c r="AQ6" s="2"/>
    </row>
    <row r="7" spans="1:43" ht="15.75" x14ac:dyDescent="0.25">
      <c r="A7" s="24">
        <f t="shared" si="24"/>
        <v>1963</v>
      </c>
      <c r="B7" s="27">
        <v>318.99</v>
      </c>
      <c r="C7" s="26">
        <f t="shared" si="2"/>
        <v>318.81917985636392</v>
      </c>
      <c r="D7" s="10">
        <f t="shared" si="3"/>
        <v>0.96328005779190562</v>
      </c>
      <c r="F7" s="34">
        <v>2796.8058995296751</v>
      </c>
      <c r="G7" s="14">
        <f t="shared" si="0"/>
        <v>1.3144987727789472</v>
      </c>
      <c r="H7" s="19">
        <f t="shared" si="1"/>
        <v>1.4609066960110795</v>
      </c>
      <c r="J7" s="48">
        <f t="shared" si="13"/>
        <v>78.008645186848824</v>
      </c>
      <c r="K7" s="51">
        <f t="shared" si="14"/>
        <v>63.941874113156963</v>
      </c>
      <c r="L7" s="47">
        <f t="shared" si="15"/>
        <v>49.875103039465095</v>
      </c>
      <c r="M7" s="77"/>
      <c r="N7" s="155">
        <f t="shared" si="4"/>
        <v>318.51478164560052</v>
      </c>
      <c r="O7" s="161">
        <f t="shared" si="16"/>
        <v>-0.90044519202319862</v>
      </c>
      <c r="P7" s="157">
        <f t="shared" si="5"/>
        <v>319.41522683762372</v>
      </c>
      <c r="Q7" s="105">
        <f t="shared" si="17"/>
        <v>318.96500424161212</v>
      </c>
      <c r="R7" s="101">
        <f t="shared" si="6"/>
        <v>2.4995758387888145E-2</v>
      </c>
      <c r="S7" s="105">
        <f t="shared" si="18"/>
        <v>6.247879373856806E-4</v>
      </c>
      <c r="T7" s="105"/>
      <c r="V7" s="74">
        <f t="shared" si="25"/>
        <v>2023</v>
      </c>
      <c r="W7" s="71">
        <f t="shared" si="19"/>
        <v>421.23610816587711</v>
      </c>
      <c r="X7" s="66">
        <f t="shared" si="20"/>
        <v>420.78719359238818</v>
      </c>
      <c r="Y7" s="61">
        <f t="shared" si="21"/>
        <v>420.34723696282452</v>
      </c>
      <c r="Z7" s="56">
        <f t="shared" si="22"/>
        <v>406.06582054670736</v>
      </c>
      <c r="AA7" s="15">
        <f t="shared" si="7"/>
        <v>-0.74526116782665286</v>
      </c>
      <c r="AB7" s="69">
        <f t="shared" si="8"/>
        <v>5.6974654352754721E-2</v>
      </c>
      <c r="AC7" s="63">
        <f t="shared" si="9"/>
        <v>5.389803217869172E-2</v>
      </c>
      <c r="AD7" s="58">
        <f t="shared" si="10"/>
        <v>5.0879616655542005E-2</v>
      </c>
      <c r="AE7" s="53">
        <f t="shared" si="11"/>
        <v>-4.8856368173953224E-2</v>
      </c>
      <c r="AG7" s="110">
        <f t="shared" si="23"/>
        <v>0.4108029700616766</v>
      </c>
      <c r="AH7" s="112">
        <f t="shared" si="12"/>
        <v>0.54547183522021969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15.75" x14ac:dyDescent="0.25">
      <c r="A8" s="24">
        <f t="shared" si="24"/>
        <v>1964</v>
      </c>
      <c r="B8" s="27">
        <v>319.62</v>
      </c>
      <c r="C8" s="26">
        <f t="shared" si="2"/>
        <v>319.79277168653789</v>
      </c>
      <c r="D8" s="10">
        <f t="shared" si="3"/>
        <v>0.98393553151692004</v>
      </c>
      <c r="F8" s="34">
        <v>2942.3055079237974</v>
      </c>
      <c r="G8" s="14">
        <f t="shared" si="0"/>
        <v>1.3828835887241848</v>
      </c>
      <c r="H8" s="19">
        <f t="shared" si="1"/>
        <v>1.5064140964367425</v>
      </c>
      <c r="J8" s="48">
        <f t="shared" si="13"/>
        <v>76.161539167916544</v>
      </c>
      <c r="K8" s="51">
        <f t="shared" si="14"/>
        <v>62.763860353907802</v>
      </c>
      <c r="L8" s="47">
        <f t="shared" si="15"/>
        <v>49.366181539899053</v>
      </c>
      <c r="M8" s="77"/>
      <c r="N8" s="155">
        <f t="shared" si="4"/>
        <v>319.2402190792094</v>
      </c>
      <c r="O8" s="161">
        <f t="shared" si="16"/>
        <v>-0.88361444077042961</v>
      </c>
      <c r="P8" s="157">
        <f t="shared" si="5"/>
        <v>320.12383351997983</v>
      </c>
      <c r="Q8" s="105">
        <f t="shared" si="17"/>
        <v>319.68202629959461</v>
      </c>
      <c r="R8" s="101">
        <f t="shared" si="6"/>
        <v>-6.2026299594606371E-2</v>
      </c>
      <c r="S8" s="105">
        <f t="shared" si="18"/>
        <v>3.8472618413998663E-3</v>
      </c>
      <c r="T8" s="105"/>
      <c r="V8" s="74">
        <f t="shared" si="25"/>
        <v>2024</v>
      </c>
      <c r="W8" s="71">
        <f t="shared" si="19"/>
        <v>424.03383978506048</v>
      </c>
      <c r="X8" s="66">
        <f t="shared" si="20"/>
        <v>423.28649838505385</v>
      </c>
      <c r="Y8" s="61">
        <f t="shared" si="21"/>
        <v>422.56144799701821</v>
      </c>
      <c r="Z8" s="56">
        <f t="shared" si="22"/>
        <v>403.84029119069413</v>
      </c>
      <c r="AA8" s="15">
        <f t="shared" si="7"/>
        <v>-0.73956818982372874</v>
      </c>
      <c r="AB8" s="69">
        <f t="shared" si="8"/>
        <v>7.6075242428987278E-2</v>
      </c>
      <c r="AC8" s="63">
        <f t="shared" si="9"/>
        <v>7.0985379893384576E-2</v>
      </c>
      <c r="AD8" s="58">
        <f t="shared" si="10"/>
        <v>6.6038737367931158E-2</v>
      </c>
      <c r="AE8" s="53">
        <f t="shared" si="11"/>
        <v>-6.4713851900168887E-2</v>
      </c>
      <c r="AG8" s="110">
        <f t="shared" si="23"/>
        <v>0.45556980004457087</v>
      </c>
      <c r="AH8" s="112">
        <f t="shared" si="12"/>
        <v>0.55825710765886871</v>
      </c>
      <c r="AI8" s="2"/>
      <c r="AJ8" s="2"/>
      <c r="AK8" s="2"/>
      <c r="AL8" s="2"/>
      <c r="AM8" s="2"/>
      <c r="AN8" s="2"/>
      <c r="AO8" s="2"/>
      <c r="AP8" s="2"/>
      <c r="AQ8" s="2"/>
    </row>
    <row r="9" spans="1:43" ht="15.75" x14ac:dyDescent="0.25">
      <c r="A9" s="24">
        <f t="shared" si="24"/>
        <v>1965</v>
      </c>
      <c r="B9" s="27">
        <v>320.04000000000002</v>
      </c>
      <c r="C9" s="26">
        <f t="shared" si="2"/>
        <v>320.78711477693287</v>
      </c>
      <c r="D9" s="10">
        <f t="shared" si="3"/>
        <v>1.0047825780978883</v>
      </c>
      <c r="F9" s="34">
        <v>3078.9781468609749</v>
      </c>
      <c r="G9" s="14">
        <f t="shared" si="0"/>
        <v>1.4471197290246582</v>
      </c>
      <c r="H9" s="19">
        <f t="shared" si="1"/>
        <v>1.5524047343435541</v>
      </c>
      <c r="J9" s="48">
        <f t="shared" si="13"/>
        <v>74.480395491221842</v>
      </c>
      <c r="K9" s="51">
        <f t="shared" si="14"/>
        <v>61.697859357202148</v>
      </c>
      <c r="L9" s="47">
        <f t="shared" si="15"/>
        <v>48.915323223182455</v>
      </c>
      <c r="M9" s="77"/>
      <c r="N9" s="155">
        <f t="shared" si="4"/>
        <v>320.02048175056518</v>
      </c>
      <c r="O9" s="161">
        <f t="shared" si="16"/>
        <v>-0.86709828299905212</v>
      </c>
      <c r="P9" s="157">
        <f t="shared" si="5"/>
        <v>320.88758003356423</v>
      </c>
      <c r="Q9" s="105">
        <f t="shared" si="17"/>
        <v>320.45403089206468</v>
      </c>
      <c r="R9" s="101">
        <f t="shared" si="6"/>
        <v>-0.41403089206465893</v>
      </c>
      <c r="S9" s="105">
        <f t="shared" si="18"/>
        <v>0.17142157958385726</v>
      </c>
      <c r="T9" s="105"/>
      <c r="V9" s="74">
        <f t="shared" si="25"/>
        <v>2025</v>
      </c>
      <c r="W9" s="71">
        <f t="shared" si="19"/>
        <v>426.85887962158398</v>
      </c>
      <c r="X9" s="66">
        <f t="shared" si="20"/>
        <v>425.73908720028646</v>
      </c>
      <c r="Y9" s="61">
        <f t="shared" si="21"/>
        <v>424.66367166778059</v>
      </c>
      <c r="Z9" s="56">
        <f t="shared" si="22"/>
        <v>401.65636051423257</v>
      </c>
      <c r="AA9" s="15">
        <f t="shared" si="7"/>
        <v>-0.73577910184417561</v>
      </c>
      <c r="AB9" s="69">
        <f t="shared" si="8"/>
        <v>9.5234818460013596E-2</v>
      </c>
      <c r="AC9" s="63">
        <f t="shared" si="9"/>
        <v>8.7655537416350279E-2</v>
      </c>
      <c r="AD9" s="58">
        <f t="shared" si="10"/>
        <v>8.0357830693200488E-2</v>
      </c>
      <c r="AE9" s="53">
        <f t="shared" si="11"/>
        <v>-8.0360117693511701E-2</v>
      </c>
      <c r="AG9" s="110">
        <f t="shared" si="23"/>
        <v>0.29023168683014983</v>
      </c>
      <c r="AH9" s="112">
        <f t="shared" si="12"/>
        <v>0.56789408913789463</v>
      </c>
      <c r="AI9" s="2"/>
      <c r="AJ9" s="2"/>
      <c r="AK9" s="2"/>
      <c r="AL9" s="2"/>
      <c r="AM9" s="2"/>
      <c r="AN9" s="2"/>
      <c r="AO9" s="2"/>
      <c r="AP9" s="2"/>
      <c r="AQ9" s="2"/>
    </row>
    <row r="10" spans="1:43" ht="15.75" x14ac:dyDescent="0.25">
      <c r="A10" s="24">
        <f t="shared" si="24"/>
        <v>1966</v>
      </c>
      <c r="B10" s="27">
        <v>321.38</v>
      </c>
      <c r="C10" s="26">
        <f t="shared" si="2"/>
        <v>321.80240070036962</v>
      </c>
      <c r="D10" s="10">
        <f t="shared" si="3"/>
        <v>1.0258211975346967</v>
      </c>
      <c r="F10" s="34">
        <v>3222.1559974400984</v>
      </c>
      <c r="G10" s="14">
        <f t="shared" si="0"/>
        <v>1.5144133187968463</v>
      </c>
      <c r="H10" s="19">
        <f t="shared" si="1"/>
        <v>1.5988786097319689</v>
      </c>
      <c r="J10" s="48">
        <f t="shared" si="13"/>
        <v>72.946269973346659</v>
      </c>
      <c r="K10" s="51">
        <f t="shared" si="14"/>
        <v>60.731088996697345</v>
      </c>
      <c r="L10" s="47">
        <f t="shared" si="15"/>
        <v>48.515908020048045</v>
      </c>
      <c r="M10" s="77"/>
      <c r="N10" s="155">
        <f t="shared" si="4"/>
        <v>320.85039621322414</v>
      </c>
      <c r="O10" s="161">
        <f t="shared" si="16"/>
        <v>-0.85089083845707592</v>
      </c>
      <c r="P10" s="157">
        <f t="shared" si="5"/>
        <v>321.70128705168122</v>
      </c>
      <c r="Q10" s="105">
        <f t="shared" si="17"/>
        <v>321.27584163245268</v>
      </c>
      <c r="R10" s="101">
        <f t="shared" si="6"/>
        <v>0.10415836754731345</v>
      </c>
      <c r="S10" s="105">
        <f t="shared" si="18"/>
        <v>1.0848965530121239E-2</v>
      </c>
      <c r="T10" s="105"/>
      <c r="V10" s="74">
        <f t="shared" si="25"/>
        <v>2026</v>
      </c>
      <c r="W10" s="71">
        <f t="shared" si="19"/>
        <v>429.7119112754732</v>
      </c>
      <c r="X10" s="66">
        <f t="shared" si="20"/>
        <v>428.14583323392594</v>
      </c>
      <c r="Y10" s="61">
        <f t="shared" si="21"/>
        <v>426.65706020047747</v>
      </c>
      <c r="Z10" s="56">
        <f t="shared" si="22"/>
        <v>399.51325097191045</v>
      </c>
      <c r="AA10" s="15">
        <f t="shared" si="7"/>
        <v>-0.72372326219318373</v>
      </c>
      <c r="AB10" s="69">
        <f t="shared" si="8"/>
        <v>0.11445597278152946</v>
      </c>
      <c r="AC10" s="63">
        <f t="shared" si="9"/>
        <v>0.10392100682201526</v>
      </c>
      <c r="AD10" s="58">
        <f t="shared" si="10"/>
        <v>9.3870279756857494E-2</v>
      </c>
      <c r="AE10" s="53">
        <f t="shared" si="11"/>
        <v>-9.5796853381322725E-2</v>
      </c>
      <c r="AG10" s="110">
        <f t="shared" si="23"/>
        <v>0.88483109820016825</v>
      </c>
      <c r="AH10" s="112">
        <f t="shared" si="12"/>
        <v>0.57695172836687514</v>
      </c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.75" x14ac:dyDescent="0.25">
      <c r="A11" s="24">
        <f t="shared" si="24"/>
        <v>1967</v>
      </c>
      <c r="B11" s="27">
        <v>322.16000000000003</v>
      </c>
      <c r="C11" s="26">
        <f t="shared" si="2"/>
        <v>322.8388210296107</v>
      </c>
      <c r="D11" s="10">
        <f t="shared" si="3"/>
        <v>1.0470513898272884</v>
      </c>
      <c r="F11" s="34">
        <v>3325.2846040177737</v>
      </c>
      <c r="G11" s="14">
        <f t="shared" si="0"/>
        <v>1.5628837638883537</v>
      </c>
      <c r="H11" s="19">
        <f t="shared" si="1"/>
        <v>1.645835722601305</v>
      </c>
      <c r="J11" s="48">
        <f t="shared" si="13"/>
        <v>71.542989161304973</v>
      </c>
      <c r="K11" s="51">
        <f t="shared" si="14"/>
        <v>59.852636530382306</v>
      </c>
      <c r="L11" s="47">
        <f t="shared" si="15"/>
        <v>48.162283899459638</v>
      </c>
      <c r="M11" s="77"/>
      <c r="N11" s="155">
        <f t="shared" si="4"/>
        <v>321.73209184579252</v>
      </c>
      <c r="O11" s="161">
        <f t="shared" si="16"/>
        <v>-0.83498633680369494</v>
      </c>
      <c r="P11" s="157">
        <f t="shared" si="5"/>
        <v>322.56707818259622</v>
      </c>
      <c r="Q11" s="105">
        <f t="shared" si="17"/>
        <v>322.14958501419437</v>
      </c>
      <c r="R11" s="101">
        <f t="shared" si="6"/>
        <v>1.0414985805653032E-2</v>
      </c>
      <c r="S11" s="105">
        <f t="shared" si="18"/>
        <v>1.0847192933195414E-4</v>
      </c>
      <c r="T11" s="105"/>
      <c r="V11" s="74">
        <f t="shared" si="25"/>
        <v>2027</v>
      </c>
      <c r="W11" s="71">
        <f t="shared" si="19"/>
        <v>432.59362347969289</v>
      </c>
      <c r="X11" s="66">
        <f t="shared" si="20"/>
        <v>430.50759336039459</v>
      </c>
      <c r="Y11" s="61">
        <f t="shared" si="21"/>
        <v>428.54469101532004</v>
      </c>
      <c r="Z11" s="56">
        <f t="shared" si="22"/>
        <v>397.41019955187477</v>
      </c>
      <c r="AA11" s="15">
        <f t="shared" si="7"/>
        <v>-0.71672880849683163</v>
      </c>
      <c r="AB11" s="69">
        <f t="shared" si="8"/>
        <v>0.13374123637171417</v>
      </c>
      <c r="AC11" s="63">
        <f t="shared" si="9"/>
        <v>0.11979380536605012</v>
      </c>
      <c r="AD11" s="58">
        <f t="shared" si="10"/>
        <v>0.10660776554539042</v>
      </c>
      <c r="AE11" s="53">
        <f t="shared" si="11"/>
        <v>-0.11102576348881552</v>
      </c>
      <c r="AG11" s="110">
        <f t="shared" si="23"/>
        <v>0.49907742214906631</v>
      </c>
      <c r="AH11" s="112">
        <f t="shared" si="12"/>
        <v>0.57962223152425318</v>
      </c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.75" x14ac:dyDescent="0.25">
      <c r="A12" s="24">
        <f t="shared" si="24"/>
        <v>1968</v>
      </c>
      <c r="B12" s="27">
        <v>323.04000000000002</v>
      </c>
      <c r="C12" s="26">
        <f t="shared" si="2"/>
        <v>323.8965673375933</v>
      </c>
      <c r="D12" s="10">
        <f t="shared" si="3"/>
        <v>1.0684731549756634</v>
      </c>
      <c r="F12" s="34">
        <v>3506.7761238166026</v>
      </c>
      <c r="G12" s="14">
        <f t="shared" si="0"/>
        <v>1.6481847781938033</v>
      </c>
      <c r="H12" s="19">
        <f t="shared" si="1"/>
        <v>1.6932760729520169</v>
      </c>
      <c r="J12" s="48">
        <f t="shared" si="13"/>
        <v>70.256661860299801</v>
      </c>
      <c r="K12" s="51">
        <f t="shared" si="14"/>
        <v>59.053129036426327</v>
      </c>
      <c r="L12" s="47">
        <f t="shared" si="15"/>
        <v>47.849596212552861</v>
      </c>
      <c r="M12" s="77"/>
      <c r="N12" s="155">
        <f t="shared" si="4"/>
        <v>322.64577763125487</v>
      </c>
      <c r="O12" s="161">
        <f t="shared" si="16"/>
        <v>-0.81937911555496612</v>
      </c>
      <c r="P12" s="157">
        <f t="shared" si="5"/>
        <v>323.46515674680984</v>
      </c>
      <c r="Q12" s="105">
        <f t="shared" si="17"/>
        <v>323.05546718903236</v>
      </c>
      <c r="R12" s="101">
        <f t="shared" si="6"/>
        <v>-1.5467189032335682E-2</v>
      </c>
      <c r="S12" s="105">
        <f t="shared" si="18"/>
        <v>2.3923393656200521E-4</v>
      </c>
      <c r="T12" s="105"/>
      <c r="V12" s="74">
        <f t="shared" si="25"/>
        <v>2028</v>
      </c>
      <c r="W12" s="71">
        <f t="shared" si="19"/>
        <v>435.5047102728621</v>
      </c>
      <c r="X12" s="66">
        <f t="shared" si="20"/>
        <v>432.82520843777041</v>
      </c>
      <c r="Y12" s="61">
        <f t="shared" si="21"/>
        <v>430.32956836386802</v>
      </c>
      <c r="Z12" s="56">
        <f t="shared" si="22"/>
        <v>395.34645750417616</v>
      </c>
      <c r="AA12" s="15">
        <f t="shared" si="7"/>
        <v>-0.70885793172539335</v>
      </c>
      <c r="AB12" s="69">
        <f t="shared" si="8"/>
        <v>0.15309308193886315</v>
      </c>
      <c r="AC12" s="63">
        <f t="shared" si="9"/>
        <v>0.1352854897030065</v>
      </c>
      <c r="AD12" s="58">
        <f t="shared" si="10"/>
        <v>0.11860038205802212</v>
      </c>
      <c r="AE12" s="53">
        <f t="shared" si="11"/>
        <v>-0.12604856836670769</v>
      </c>
      <c r="AG12" s="110">
        <f t="shared" si="23"/>
        <v>0.53392071789691042</v>
      </c>
      <c r="AH12" s="112">
        <f t="shared" si="12"/>
        <v>0.5911053329295507</v>
      </c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5.75" x14ac:dyDescent="0.25">
      <c r="A13" s="24">
        <f t="shared" si="24"/>
        <v>1969</v>
      </c>
      <c r="B13" s="27">
        <v>324.62</v>
      </c>
      <c r="C13" s="26">
        <f t="shared" si="2"/>
        <v>324.97583119713818</v>
      </c>
      <c r="D13" s="10">
        <f t="shared" si="3"/>
        <v>1.0900864929800491</v>
      </c>
      <c r="F13" s="34">
        <v>3740.3430994601531</v>
      </c>
      <c r="G13" s="14">
        <f t="shared" si="0"/>
        <v>1.7579612567462719</v>
      </c>
      <c r="H13" s="19">
        <f t="shared" si="1"/>
        <v>1.7411996607838773</v>
      </c>
      <c r="J13" s="48">
        <f t="shared" si="13"/>
        <v>69.075290473450849</v>
      </c>
      <c r="K13" s="51">
        <f t="shared" si="14"/>
        <v>58.324471190206054</v>
      </c>
      <c r="L13" s="47">
        <f t="shared" si="15"/>
        <v>47.57365190696126</v>
      </c>
      <c r="M13" s="77"/>
      <c r="N13" s="155">
        <f t="shared" si="4"/>
        <v>323.62768619204206</v>
      </c>
      <c r="O13" s="161">
        <f t="shared" si="16"/>
        <v>-0.80406361806791438</v>
      </c>
      <c r="P13" s="157">
        <f t="shared" si="5"/>
        <v>324.43174981010998</v>
      </c>
      <c r="Q13" s="105">
        <f t="shared" si="17"/>
        <v>324.02971800107605</v>
      </c>
      <c r="R13" s="101">
        <f t="shared" si="6"/>
        <v>0.59028199892395605</v>
      </c>
      <c r="S13" s="105">
        <f t="shared" si="18"/>
        <v>0.34843283825366128</v>
      </c>
      <c r="T13" s="105"/>
      <c r="V13" s="74">
        <f t="shared" si="25"/>
        <v>2029</v>
      </c>
      <c r="W13" s="71">
        <f t="shared" si="19"/>
        <v>438.44587117277041</v>
      </c>
      <c r="X13" s="66">
        <f t="shared" si="20"/>
        <v>435.09950360715789</v>
      </c>
      <c r="Y13" s="61">
        <f t="shared" si="21"/>
        <v>432.0146249313695</v>
      </c>
      <c r="Z13" s="56">
        <f t="shared" si="22"/>
        <v>393.32129007419155</v>
      </c>
      <c r="AA13" s="15">
        <f t="shared" si="7"/>
        <v>-0.69477978772008819</v>
      </c>
      <c r="AB13" s="69">
        <f t="shared" si="8"/>
        <v>0.17251392496576323</v>
      </c>
      <c r="AC13" s="63">
        <f t="shared" si="9"/>
        <v>0.15040717860855971</v>
      </c>
      <c r="AD13" s="58">
        <f t="shared" si="10"/>
        <v>0.12987674185295389</v>
      </c>
      <c r="AE13" s="53">
        <f t="shared" si="11"/>
        <v>-0.14086700332299651</v>
      </c>
      <c r="AG13" s="110">
        <f t="shared" si="23"/>
        <v>0.89876838521705082</v>
      </c>
      <c r="AH13" s="112">
        <f t="shared" si="12"/>
        <v>0.60628013896994892</v>
      </c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5.75" x14ac:dyDescent="0.25">
      <c r="A14" s="24">
        <f t="shared" si="24"/>
        <v>1970</v>
      </c>
      <c r="B14" s="27">
        <v>325.68</v>
      </c>
      <c r="C14" s="26">
        <f t="shared" si="2"/>
        <v>326.07680418124073</v>
      </c>
      <c r="D14" s="10">
        <f t="shared" si="3"/>
        <v>1.1118914038402181</v>
      </c>
      <c r="F14" s="34">
        <v>4050.1253838046337</v>
      </c>
      <c r="G14" s="14">
        <f t="shared" si="0"/>
        <v>1.9035589303881777</v>
      </c>
      <c r="H14" s="19">
        <f t="shared" si="1"/>
        <v>1.7896064860972274</v>
      </c>
      <c r="J14" s="48">
        <f t="shared" si="13"/>
        <v>67.988459143907718</v>
      </c>
      <c r="K14" s="51">
        <f t="shared" si="14"/>
        <v>57.659634858799954</v>
      </c>
      <c r="L14" s="47">
        <f t="shared" si="15"/>
        <v>47.330810573692197</v>
      </c>
      <c r="M14" s="77"/>
      <c r="N14" s="155">
        <f t="shared" si="4"/>
        <v>324.70101780033895</v>
      </c>
      <c r="O14" s="161">
        <f t="shared" si="16"/>
        <v>-0.78903439156198374</v>
      </c>
      <c r="P14" s="157">
        <f t="shared" si="5"/>
        <v>325.49005219190093</v>
      </c>
      <c r="Q14" s="105">
        <f t="shared" si="17"/>
        <v>325.09553499611991</v>
      </c>
      <c r="R14" s="101">
        <f t="shared" si="6"/>
        <v>0.58446500388009781</v>
      </c>
      <c r="S14" s="105">
        <f t="shared" si="18"/>
        <v>0.34159934076056275</v>
      </c>
      <c r="T14" s="105"/>
      <c r="V14" s="74">
        <f t="shared" si="25"/>
        <v>2030</v>
      </c>
      <c r="W14" s="71">
        <f t="shared" si="19"/>
        <v>441.41781135074154</v>
      </c>
      <c r="X14" s="66">
        <f t="shared" si="20"/>
        <v>437.33128858646336</v>
      </c>
      <c r="Y14" s="61">
        <f t="shared" si="21"/>
        <v>433.60272340563023</v>
      </c>
      <c r="Z14" s="56">
        <f t="shared" si="22"/>
        <v>391.33397624102912</v>
      </c>
      <c r="AA14" s="15">
        <f t="shared" si="7"/>
        <v>-0.68537331010831948</v>
      </c>
      <c r="AB14" s="69">
        <f t="shared" si="8"/>
        <v>0.19200612471295009</v>
      </c>
      <c r="AC14" s="63">
        <f t="shared" si="9"/>
        <v>0.16516957431594584</v>
      </c>
      <c r="AD14" s="58">
        <f t="shared" si="10"/>
        <v>0.14046407293295646</v>
      </c>
      <c r="AE14" s="53">
        <f t="shared" si="11"/>
        <v>-0.15548281775965475</v>
      </c>
      <c r="AG14" s="110">
        <f t="shared" si="23"/>
        <v>0.55685168611188984</v>
      </c>
      <c r="AH14" s="112">
        <f t="shared" si="12"/>
        <v>0.62592906196572329</v>
      </c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.75" x14ac:dyDescent="0.25">
      <c r="A15" s="24">
        <f t="shared" si="24"/>
        <v>1971</v>
      </c>
      <c r="B15" s="27">
        <v>326.32</v>
      </c>
      <c r="C15" s="26">
        <f t="shared" si="2"/>
        <v>327.19967786260531</v>
      </c>
      <c r="D15" s="10">
        <f t="shared" si="3"/>
        <v>1.1338878875562841</v>
      </c>
      <c r="F15" s="34">
        <v>4213.719956047652</v>
      </c>
      <c r="G15" s="14">
        <f t="shared" si="0"/>
        <v>1.9804483793423964</v>
      </c>
      <c r="H15" s="19">
        <f t="shared" si="1"/>
        <v>1.8384965488916123</v>
      </c>
      <c r="J15" s="48">
        <f t="shared" si="13"/>
        <v>66.987081556953299</v>
      </c>
      <c r="K15" s="51">
        <f t="shared" si="14"/>
        <v>57.052488946731813</v>
      </c>
      <c r="L15" s="47">
        <f t="shared" si="15"/>
        <v>47.117896336510334</v>
      </c>
      <c r="M15" s="77"/>
      <c r="N15" s="155">
        <f t="shared" si="4"/>
        <v>325.89988480922545</v>
      </c>
      <c r="O15" s="161">
        <f t="shared" si="16"/>
        <v>-0.77428608517766406</v>
      </c>
      <c r="P15" s="157">
        <f t="shared" si="5"/>
        <v>326.67417089440312</v>
      </c>
      <c r="Q15" s="105">
        <f t="shared" si="17"/>
        <v>326.28702785181429</v>
      </c>
      <c r="R15" s="101">
        <f t="shared" si="6"/>
        <v>3.2972148185706374E-2</v>
      </c>
      <c r="S15" s="105">
        <f t="shared" si="18"/>
        <v>1.0871625559801801E-3</v>
      </c>
      <c r="T15" s="105"/>
      <c r="V15" s="74">
        <f t="shared" si="25"/>
        <v>2031</v>
      </c>
      <c r="W15" s="71">
        <f t="shared" si="19"/>
        <v>444.42124180688921</v>
      </c>
      <c r="X15" s="66">
        <f t="shared" si="20"/>
        <v>439.521357958679</v>
      </c>
      <c r="Y15" s="61">
        <f t="shared" si="21"/>
        <v>435.09665801309052</v>
      </c>
      <c r="Z15" s="56">
        <f t="shared" si="22"/>
        <v>389.38380846082299</v>
      </c>
      <c r="AA15" s="15">
        <f t="shared" si="7"/>
        <v>-0.67970873880329385</v>
      </c>
      <c r="AB15" s="69">
        <f t="shared" si="8"/>
        <v>0.21157198518290055</v>
      </c>
      <c r="AC15" s="63">
        <f t="shared" si="9"/>
        <v>0.17958298256690974</v>
      </c>
      <c r="AD15" s="58">
        <f t="shared" si="10"/>
        <v>0.15038830780847803</v>
      </c>
      <c r="AE15" s="53">
        <f t="shared" si="11"/>
        <v>-0.16989777431498865</v>
      </c>
      <c r="AG15" s="110">
        <f t="shared" si="23"/>
        <v>0.32315914248292449</v>
      </c>
      <c r="AH15" s="112">
        <f t="shared" si="12"/>
        <v>0.62920671053459853</v>
      </c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15.75" x14ac:dyDescent="0.25">
      <c r="A16" s="24">
        <f t="shared" si="24"/>
        <v>1972</v>
      </c>
      <c r="B16" s="27">
        <v>327.45</v>
      </c>
      <c r="C16" s="26">
        <f t="shared" si="2"/>
        <v>328.34464381387806</v>
      </c>
      <c r="D16" s="10">
        <f t="shared" si="3"/>
        <v>1.1560759441280197</v>
      </c>
      <c r="F16" s="34">
        <v>4409.5791903626405</v>
      </c>
      <c r="G16" s="14">
        <f t="shared" si="0"/>
        <v>2.072502219470441</v>
      </c>
      <c r="H16" s="19">
        <f t="shared" si="1"/>
        <v>1.8878698491672594</v>
      </c>
      <c r="J16" s="48">
        <f t="shared" si="13"/>
        <v>66.063195499401928</v>
      </c>
      <c r="K16" s="51">
        <f t="shared" si="14"/>
        <v>56.497660788335089</v>
      </c>
      <c r="L16" s="47">
        <f t="shared" si="15"/>
        <v>46.932126077268251</v>
      </c>
      <c r="M16" s="77"/>
      <c r="N16" s="155">
        <f t="shared" si="4"/>
        <v>327.15323253792815</v>
      </c>
      <c r="O16" s="161">
        <f t="shared" si="16"/>
        <v>-0.75981344807155438</v>
      </c>
      <c r="P16" s="157">
        <f t="shared" si="5"/>
        <v>327.9130459859997</v>
      </c>
      <c r="Q16" s="105">
        <f t="shared" si="17"/>
        <v>327.53313926196392</v>
      </c>
      <c r="R16" s="101">
        <f t="shared" si="6"/>
        <v>-8.3139261963935951E-2</v>
      </c>
      <c r="S16" s="105">
        <f t="shared" si="18"/>
        <v>6.9121368799079669E-3</v>
      </c>
      <c r="T16" s="105"/>
      <c r="V16" s="74">
        <f t="shared" si="25"/>
        <v>2032</v>
      </c>
      <c r="W16" s="71">
        <f t="shared" si="19"/>
        <v>447.45687954631109</v>
      </c>
      <c r="X16" s="66">
        <f t="shared" si="20"/>
        <v>441.67049145477847</v>
      </c>
      <c r="Y16" s="61">
        <f t="shared" si="21"/>
        <v>436.49915602277451</v>
      </c>
      <c r="Z16" s="56">
        <f t="shared" si="22"/>
        <v>387.4700924148263</v>
      </c>
      <c r="AA16" s="15">
        <f t="shared" si="7"/>
        <v>-0.6697343011897211</v>
      </c>
      <c r="AB16" s="69">
        <f t="shared" si="8"/>
        <v>0.23121375604710798</v>
      </c>
      <c r="AC16" s="63">
        <f t="shared" si="9"/>
        <v>0.19365733146912989</v>
      </c>
      <c r="AD16" s="58">
        <f t="shared" si="10"/>
        <v>0.1596741654832888</v>
      </c>
      <c r="AE16" s="53">
        <f t="shared" si="11"/>
        <v>-0.18411364801237406</v>
      </c>
      <c r="AG16" s="110">
        <f t="shared" si="23"/>
        <v>0.54523463926071425</v>
      </c>
      <c r="AH16" s="112">
        <f t="shared" si="12"/>
        <v>0.63443765505580552</v>
      </c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15.75" x14ac:dyDescent="0.25">
      <c r="A17" s="24">
        <f t="shared" si="24"/>
        <v>1973</v>
      </c>
      <c r="B17" s="27">
        <v>329.68</v>
      </c>
      <c r="C17" s="26">
        <f t="shared" si="2"/>
        <v>329.51189360828721</v>
      </c>
      <c r="D17" s="10">
        <f t="shared" si="3"/>
        <v>1.178455573555766</v>
      </c>
      <c r="F17" s="34">
        <v>4643.9009821904756</v>
      </c>
      <c r="G17" s="14">
        <f t="shared" si="0"/>
        <v>2.1826334616295235</v>
      </c>
      <c r="H17" s="19">
        <f t="shared" si="1"/>
        <v>1.9377263869243961</v>
      </c>
      <c r="J17" s="48">
        <f t="shared" si="13"/>
        <v>65.209794366544301</v>
      </c>
      <c r="K17" s="51">
        <f t="shared" si="14"/>
        <v>55.990422468204969</v>
      </c>
      <c r="L17" s="47">
        <f t="shared" si="15"/>
        <v>46.771050569865629</v>
      </c>
      <c r="M17" s="77"/>
      <c r="N17" s="155">
        <f t="shared" si="4"/>
        <v>328.47520704640925</v>
      </c>
      <c r="O17" s="161">
        <f t="shared" si="16"/>
        <v>-0.74561132754689652</v>
      </c>
      <c r="P17" s="157">
        <f t="shared" si="5"/>
        <v>329.22081837395615</v>
      </c>
      <c r="Q17" s="105">
        <f t="shared" si="17"/>
        <v>328.84801271018273</v>
      </c>
      <c r="R17" s="101">
        <f t="shared" si="6"/>
        <v>0.83198728981727754</v>
      </c>
      <c r="S17" s="105">
        <f t="shared" si="18"/>
        <v>0.69220285041749863</v>
      </c>
      <c r="T17" s="105"/>
      <c r="V17" s="74">
        <f t="shared" si="25"/>
        <v>2033</v>
      </c>
      <c r="W17" s="71">
        <f t="shared" si="19"/>
        <v>450.52544775626694</v>
      </c>
      <c r="X17" s="66">
        <f t="shared" si="20"/>
        <v>443.77945423132468</v>
      </c>
      <c r="Y17" s="61">
        <f t="shared" si="21"/>
        <v>437.81287921876412</v>
      </c>
      <c r="Z17" s="56">
        <f t="shared" si="22"/>
        <v>385.59214676221274</v>
      </c>
      <c r="AA17" s="15">
        <f t="shared" si="7"/>
        <v>-0.65015082582734129</v>
      </c>
      <c r="AB17" s="69">
        <f t="shared" si="8"/>
        <v>0.25093363353792586</v>
      </c>
      <c r="AC17" s="63">
        <f t="shared" si="9"/>
        <v>0.20740218924447471</v>
      </c>
      <c r="AD17" s="58">
        <f t="shared" si="10"/>
        <v>0.16834522702621987</v>
      </c>
      <c r="AE17" s="53">
        <f t="shared" si="11"/>
        <v>-0.19813222541606443</v>
      </c>
      <c r="AG17" s="110">
        <f t="shared" si="23"/>
        <v>1.0217015542019279</v>
      </c>
      <c r="AH17" s="112">
        <f t="shared" si="12"/>
        <v>0.64162290242441322</v>
      </c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3.5" customHeight="1" x14ac:dyDescent="0.25">
      <c r="A18" s="24">
        <f t="shared" si="24"/>
        <v>1974</v>
      </c>
      <c r="B18" s="27">
        <v>330.18</v>
      </c>
      <c r="C18" s="26">
        <f t="shared" si="2"/>
        <v>330.70161881865351</v>
      </c>
      <c r="D18" s="10">
        <f t="shared" si="3"/>
        <v>1.2010267758392956</v>
      </c>
      <c r="F18" s="34">
        <v>4623.8224157374871</v>
      </c>
      <c r="G18" s="14">
        <f t="shared" si="0"/>
        <v>2.1731965353966189</v>
      </c>
      <c r="H18" s="19">
        <f t="shared" si="1"/>
        <v>1.988066162162454</v>
      </c>
      <c r="J18" s="48">
        <f t="shared" si="13"/>
        <v>64.420688087184786</v>
      </c>
      <c r="K18" s="51">
        <f t="shared" si="14"/>
        <v>55.526596988768269</v>
      </c>
      <c r="L18" s="47">
        <f t="shared" si="15"/>
        <v>46.632505890351759</v>
      </c>
      <c r="M18" s="77"/>
      <c r="N18" s="155">
        <f t="shared" si="4"/>
        <v>329.8826029931526</v>
      </c>
      <c r="O18" s="161">
        <f t="shared" si="16"/>
        <v>-0.73167466721889696</v>
      </c>
      <c r="P18" s="157">
        <f t="shared" si="5"/>
        <v>330.6142776603715</v>
      </c>
      <c r="Q18" s="105">
        <f t="shared" si="17"/>
        <v>330.24844032676208</v>
      </c>
      <c r="R18" s="101">
        <f t="shared" si="6"/>
        <v>-6.8440326762072345E-2</v>
      </c>
      <c r="S18" s="105">
        <f t="shared" si="18"/>
        <v>4.6840783272992358E-3</v>
      </c>
      <c r="T18" s="105"/>
      <c r="V18" s="74">
        <f t="shared" si="25"/>
        <v>2034</v>
      </c>
      <c r="W18" s="71">
        <f t="shared" si="19"/>
        <v>453.62767598438592</v>
      </c>
      <c r="X18" s="66">
        <f t="shared" si="20"/>
        <v>445.84899714288872</v>
      </c>
      <c r="Y18" s="61">
        <f t="shared" si="21"/>
        <v>439.04042534183571</v>
      </c>
      <c r="Z18" s="56">
        <f t="shared" si="22"/>
        <v>383.74930289749847</v>
      </c>
      <c r="AA18" s="15">
        <f t="shared" si="7"/>
        <v>-0.64577809428730593</v>
      </c>
      <c r="AB18" s="69">
        <f t="shared" si="8"/>
        <v>0.2707337613069517</v>
      </c>
      <c r="AC18" s="63">
        <f t="shared" si="9"/>
        <v>0.22082678094559638</v>
      </c>
      <c r="AD18" s="58">
        <f t="shared" si="10"/>
        <v>0.17642400532107719</v>
      </c>
      <c r="AE18" s="53">
        <f t="shared" si="11"/>
        <v>-0.21195530379474117</v>
      </c>
      <c r="AG18" s="110">
        <f t="shared" si="23"/>
        <v>0.23007583154863975</v>
      </c>
      <c r="AH18" s="112">
        <f t="shared" si="12"/>
        <v>0.62802164966872853</v>
      </c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5.75" x14ac:dyDescent="0.25">
      <c r="A19" s="24">
        <f t="shared" si="24"/>
        <v>1975</v>
      </c>
      <c r="B19" s="27">
        <v>331.11</v>
      </c>
      <c r="C19" s="26">
        <f t="shared" si="2"/>
        <v>331.91401101768133</v>
      </c>
      <c r="D19" s="10">
        <f t="shared" si="3"/>
        <v>1.2237895509786085</v>
      </c>
      <c r="F19" s="34">
        <v>4617.9602930924193</v>
      </c>
      <c r="G19" s="14">
        <f t="shared" si="0"/>
        <v>2.1704413377534371</v>
      </c>
      <c r="H19" s="19">
        <f t="shared" si="1"/>
        <v>2.0388891748818878</v>
      </c>
      <c r="J19" s="48">
        <f t="shared" si="13"/>
        <v>63.690387647438676</v>
      </c>
      <c r="K19" s="51">
        <f t="shared" si="14"/>
        <v>55.102480360131885</v>
      </c>
      <c r="L19" s="47">
        <f t="shared" si="15"/>
        <v>46.514573072825087</v>
      </c>
      <c r="M19" s="77"/>
      <c r="N19" s="155">
        <f t="shared" si="4"/>
        <v>331.25425554736881</v>
      </c>
      <c r="O19" s="161">
        <f t="shared" si="16"/>
        <v>-0.71799850521477993</v>
      </c>
      <c r="P19" s="157">
        <f t="shared" si="5"/>
        <v>331.97225405258359</v>
      </c>
      <c r="Q19" s="105">
        <f t="shared" si="17"/>
        <v>331.61325479997618</v>
      </c>
      <c r="R19" s="101">
        <f t="shared" si="6"/>
        <v>-0.50325479997616185</v>
      </c>
      <c r="S19" s="105">
        <f t="shared" si="18"/>
        <v>0.25326539369904666</v>
      </c>
      <c r="T19" s="105"/>
      <c r="V19" s="74">
        <f t="shared" si="25"/>
        <v>2035</v>
      </c>
      <c r="W19" s="71">
        <f t="shared" si="19"/>
        <v>456.76430031794962</v>
      </c>
      <c r="X19" s="66">
        <f t="shared" si="20"/>
        <v>447.87985700937679</v>
      </c>
      <c r="Y19" s="61">
        <f t="shared" si="21"/>
        <v>440.18432950088641</v>
      </c>
      <c r="Z19" s="56">
        <f t="shared" si="22"/>
        <v>381.94090471249848</v>
      </c>
      <c r="AA19" s="15">
        <f t="shared" si="7"/>
        <v>-0.63766239755776655</v>
      </c>
      <c r="AB19" s="69">
        <f t="shared" si="8"/>
        <v>0.29061623125168284</v>
      </c>
      <c r="AC19" s="63">
        <f t="shared" si="9"/>
        <v>0.23394000421209588</v>
      </c>
      <c r="AD19" s="58">
        <f t="shared" si="10"/>
        <v>0.18393200952401512</v>
      </c>
      <c r="AE19" s="53">
        <f t="shared" si="11"/>
        <v>-0.22558469029343842</v>
      </c>
      <c r="AG19" s="110">
        <f t="shared" si="23"/>
        <v>0.42848428281532075</v>
      </c>
      <c r="AH19" s="112">
        <f t="shared" si="12"/>
        <v>0.6157958298256494</v>
      </c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15.75" x14ac:dyDescent="0.25">
      <c r="A20" s="24">
        <f t="shared" si="24"/>
        <v>1976</v>
      </c>
      <c r="B20" s="27">
        <v>332.04</v>
      </c>
      <c r="C20" s="26">
        <f t="shared" si="2"/>
        <v>333.14926177824964</v>
      </c>
      <c r="D20" s="10">
        <f t="shared" si="3"/>
        <v>1.2467438989738753</v>
      </c>
      <c r="F20" s="34">
        <v>4862.9579433500421</v>
      </c>
      <c r="G20" s="14">
        <f t="shared" si="0"/>
        <v>2.2855902333745197</v>
      </c>
      <c r="H20" s="19">
        <f t="shared" si="1"/>
        <v>2.0901954250824701</v>
      </c>
      <c r="J20" s="48">
        <f t="shared" si="13"/>
        <v>63.014008669191313</v>
      </c>
      <c r="K20" s="51">
        <f t="shared" si="14"/>
        <v>54.714776545804597</v>
      </c>
      <c r="L20" s="47">
        <f t="shared" si="15"/>
        <v>46.415544422417881</v>
      </c>
      <c r="M20" s="77"/>
      <c r="N20" s="155">
        <f t="shared" si="4"/>
        <v>332.59751453844251</v>
      </c>
      <c r="O20" s="161">
        <f t="shared" si="16"/>
        <v>-0.70457797240698028</v>
      </c>
      <c r="P20" s="157">
        <f t="shared" si="5"/>
        <v>333.30209251084949</v>
      </c>
      <c r="Q20" s="105">
        <f t="shared" si="17"/>
        <v>332.94980352464597</v>
      </c>
      <c r="R20" s="101">
        <f t="shared" si="6"/>
        <v>-0.90980352464595171</v>
      </c>
      <c r="S20" s="105">
        <f t="shared" si="18"/>
        <v>0.82774245345819686</v>
      </c>
      <c r="T20" s="105"/>
      <c r="V20" s="74">
        <f t="shared" si="25"/>
        <v>2036</v>
      </c>
      <c r="W20" s="71">
        <f t="shared" si="19"/>
        <v>459.93606356429626</v>
      </c>
      <c r="X20" s="66">
        <f t="shared" si="20"/>
        <v>449.87275687836041</v>
      </c>
      <c r="Y20" s="61">
        <f t="shared" si="21"/>
        <v>441.24706555476297</v>
      </c>
      <c r="Z20" s="56">
        <f t="shared" si="22"/>
        <v>380.16630836273214</v>
      </c>
      <c r="AA20" s="15">
        <f t="shared" si="7"/>
        <v>-0.62956946372611833</v>
      </c>
      <c r="AB20" s="69">
        <f t="shared" si="8"/>
        <v>0.31058308431206511</v>
      </c>
      <c r="AC20" s="63">
        <f t="shared" si="9"/>
        <v>0.24675044413183836</v>
      </c>
      <c r="AD20" s="58">
        <f t="shared" si="10"/>
        <v>0.19088980470236047</v>
      </c>
      <c r="AE20" s="53">
        <f t="shared" si="11"/>
        <v>-0.23902220111446318</v>
      </c>
      <c r="AG20" s="110">
        <f t="shared" si="23"/>
        <v>0.40689708348417492</v>
      </c>
      <c r="AH20" s="112">
        <f t="shared" si="12"/>
        <v>0.6242218663280239</v>
      </c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x14ac:dyDescent="0.25">
      <c r="A21" s="24">
        <f t="shared" si="24"/>
        <v>1977</v>
      </c>
      <c r="B21" s="27">
        <v>333.83</v>
      </c>
      <c r="C21" s="26">
        <f t="shared" si="2"/>
        <v>334.40756267335382</v>
      </c>
      <c r="D21" s="10">
        <f t="shared" si="3"/>
        <v>1.2698898198249822</v>
      </c>
      <c r="F21" s="34">
        <v>4996.4691666638146</v>
      </c>
      <c r="G21" s="14">
        <f t="shared" si="0"/>
        <v>2.3483405083319928</v>
      </c>
      <c r="H21" s="19">
        <f t="shared" si="1"/>
        <v>2.1419849127646557</v>
      </c>
      <c r="J21" s="48">
        <f t="shared" si="13"/>
        <v>62.387190472492911</v>
      </c>
      <c r="K21" s="51">
        <f t="shared" si="14"/>
        <v>54.360542854967306</v>
      </c>
      <c r="L21" s="47">
        <f t="shared" si="15"/>
        <v>46.333895237441702</v>
      </c>
      <c r="M21" s="77"/>
      <c r="N21" s="155">
        <f t="shared" si="4"/>
        <v>334.0308147804443</v>
      </c>
      <c r="O21" s="161">
        <f t="shared" si="16"/>
        <v>-0.69140829067976028</v>
      </c>
      <c r="P21" s="157">
        <f t="shared" si="5"/>
        <v>334.72222307112406</v>
      </c>
      <c r="Q21" s="105">
        <f t="shared" si="17"/>
        <v>334.37651892578418</v>
      </c>
      <c r="R21" s="101">
        <f t="shared" si="6"/>
        <v>-0.54651892578419847</v>
      </c>
      <c r="S21" s="105">
        <f t="shared" si="18"/>
        <v>0.29868293624031422</v>
      </c>
      <c r="T21" s="105"/>
      <c r="V21" s="74">
        <f t="shared" si="25"/>
        <v>2037</v>
      </c>
      <c r="W21" s="71">
        <f t="shared" si="19"/>
        <v>463.1437154323927</v>
      </c>
      <c r="X21" s="66">
        <f t="shared" si="20"/>
        <v>451.82840628250318</v>
      </c>
      <c r="Y21" s="61">
        <f t="shared" si="21"/>
        <v>442.23104746509506</v>
      </c>
      <c r="Z21" s="56">
        <f t="shared" si="22"/>
        <v>378.42488203819511</v>
      </c>
      <c r="AA21" s="15">
        <f t="shared" si="7"/>
        <v>-0.61405634348441707</v>
      </c>
      <c r="AB21" s="69">
        <f t="shared" si="8"/>
        <v>0.33063631123851928</v>
      </c>
      <c r="AC21" s="63">
        <f t="shared" si="9"/>
        <v>0.25926638726782297</v>
      </c>
      <c r="AD21" s="58">
        <f t="shared" si="10"/>
        <v>0.19731706708009308</v>
      </c>
      <c r="AE21" s="53">
        <f t="shared" si="11"/>
        <v>-0.25226966070788709</v>
      </c>
      <c r="AG21" s="110">
        <f t="shared" si="23"/>
        <v>0.76224039641993235</v>
      </c>
      <c r="AH21" s="112">
        <f t="shared" si="12"/>
        <v>0.62290715222694204</v>
      </c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5.75" x14ac:dyDescent="0.25">
      <c r="A22" s="24">
        <f t="shared" si="24"/>
        <v>1978</v>
      </c>
      <c r="B22" s="27">
        <v>335.4</v>
      </c>
      <c r="C22" s="26">
        <f t="shared" si="2"/>
        <v>335.68910527558182</v>
      </c>
      <c r="D22" s="10">
        <f t="shared" si="3"/>
        <v>1.2932273135319292</v>
      </c>
      <c r="F22" s="34">
        <v>5179.5213220029327</v>
      </c>
      <c r="G22" s="14">
        <f t="shared" si="0"/>
        <v>2.4343750213413782</v>
      </c>
      <c r="H22" s="19">
        <f t="shared" si="1"/>
        <v>2.1942576379277625</v>
      </c>
      <c r="J22" s="48">
        <f t="shared" si="13"/>
        <v>61.806027797036649</v>
      </c>
      <c r="K22" s="51">
        <f t="shared" si="14"/>
        <v>54.037143875517472</v>
      </c>
      <c r="L22" s="47">
        <f t="shared" si="15"/>
        <v>46.268259953998289</v>
      </c>
      <c r="M22" s="77"/>
      <c r="N22" s="155">
        <f t="shared" si="4"/>
        <v>335.50007463867456</v>
      </c>
      <c r="O22" s="161">
        <f t="shared" si="16"/>
        <v>-0.67848477122782924</v>
      </c>
      <c r="P22" s="157">
        <f t="shared" si="5"/>
        <v>336.17855940990239</v>
      </c>
      <c r="Q22" s="105">
        <f t="shared" si="17"/>
        <v>335.83931702428845</v>
      </c>
      <c r="R22" s="101">
        <f t="shared" si="6"/>
        <v>-0.43931702428847075</v>
      </c>
      <c r="S22" s="105">
        <f t="shared" si="18"/>
        <v>0.19299944782967679</v>
      </c>
      <c r="T22" s="105"/>
      <c r="V22" s="74">
        <f t="shared" si="25"/>
        <v>2038</v>
      </c>
      <c r="W22" s="71">
        <f t="shared" si="19"/>
        <v>466.38801271562028</v>
      </c>
      <c r="X22" s="66">
        <f t="shared" si="20"/>
        <v>453.74750149217601</v>
      </c>
      <c r="Y22" s="61">
        <f t="shared" si="21"/>
        <v>443.13863062072261</v>
      </c>
      <c r="Z22" s="56">
        <f t="shared" si="22"/>
        <v>376.71600573841579</v>
      </c>
      <c r="AA22" s="15">
        <f t="shared" si="7"/>
        <v>-0.60051818548492308</v>
      </c>
      <c r="AB22" s="69">
        <f t="shared" si="8"/>
        <v>0.3507778533329397</v>
      </c>
      <c r="AC22" s="63">
        <f t="shared" si="9"/>
        <v>0.27149583490630474</v>
      </c>
      <c r="AD22" s="58">
        <f t="shared" si="10"/>
        <v>0.20323263527203841</v>
      </c>
      <c r="AE22" s="53">
        <f t="shared" si="11"/>
        <v>-0.26532890097217321</v>
      </c>
      <c r="AG22" s="110">
        <f t="shared" si="23"/>
        <v>0.64492939100849755</v>
      </c>
      <c r="AH22" s="112">
        <f t="shared" si="12"/>
        <v>0.62500254794040799</v>
      </c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5.75" x14ac:dyDescent="0.25">
      <c r="A23" s="24">
        <f t="shared" si="24"/>
        <v>1979</v>
      </c>
      <c r="B23" s="27">
        <v>336.84</v>
      </c>
      <c r="C23" s="26">
        <f t="shared" si="2"/>
        <v>336.99408115792903</v>
      </c>
      <c r="D23" s="10">
        <f t="shared" si="3"/>
        <v>1.3167563800946027</v>
      </c>
      <c r="F23" s="34">
        <v>5317.6443229793167</v>
      </c>
      <c r="G23" s="14">
        <f t="shared" si="0"/>
        <v>2.4992928318002789</v>
      </c>
      <c r="H23" s="19">
        <f t="shared" si="1"/>
        <v>2.2470136005721315</v>
      </c>
      <c r="J23" s="48">
        <f t="shared" si="13"/>
        <v>61.267012932909317</v>
      </c>
      <c r="K23" s="51">
        <f t="shared" si="14"/>
        <v>53.742212430520645</v>
      </c>
      <c r="L23" s="47">
        <f t="shared" si="15"/>
        <v>46.217411928131973</v>
      </c>
      <c r="M23" s="77"/>
      <c r="N23" s="155">
        <f t="shared" si="4"/>
        <v>337.02790620882575</v>
      </c>
      <c r="O23" s="161">
        <f t="shared" si="16"/>
        <v>-0.6658028128871365</v>
      </c>
      <c r="P23" s="157">
        <f t="shared" si="5"/>
        <v>337.69370902171289</v>
      </c>
      <c r="Q23" s="105">
        <f t="shared" si="17"/>
        <v>337.36080761526932</v>
      </c>
      <c r="R23" s="101">
        <f t="shared" si="6"/>
        <v>-0.52080761526934793</v>
      </c>
      <c r="S23" s="105">
        <f t="shared" si="18"/>
        <v>0.27124057212254515</v>
      </c>
      <c r="T23" s="105"/>
      <c r="V23" s="74">
        <f t="shared" si="25"/>
        <v>2039</v>
      </c>
      <c r="W23" s="71">
        <f t="shared" si="19"/>
        <v>469.66971947582073</v>
      </c>
      <c r="X23" s="66">
        <f t="shared" si="20"/>
        <v>455.63072576335031</v>
      </c>
      <c r="Y23" s="61">
        <f t="shared" si="21"/>
        <v>443.97211313429415</v>
      </c>
      <c r="Z23" s="56">
        <f t="shared" si="22"/>
        <v>375.03907105171641</v>
      </c>
      <c r="AA23" s="15">
        <f t="shared" si="7"/>
        <v>-0.58815662392097923</v>
      </c>
      <c r="AB23" s="69">
        <f t="shared" si="8"/>
        <v>0.37100960316410408</v>
      </c>
      <c r="AC23" s="63">
        <f t="shared" si="9"/>
        <v>0.28344651557757949</v>
      </c>
      <c r="AD23" s="58">
        <f t="shared" si="10"/>
        <v>0.2086545578506403</v>
      </c>
      <c r="AE23" s="53">
        <f t="shared" si="11"/>
        <v>-0.27820176046546197</v>
      </c>
      <c r="AG23" s="110">
        <f t="shared" si="23"/>
        <v>0.57616297765426061</v>
      </c>
      <c r="AH23" s="112">
        <f t="shared" si="12"/>
        <v>0.62336405928495608</v>
      </c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5.75" x14ac:dyDescent="0.25">
      <c r="A24" s="24">
        <f t="shared" si="24"/>
        <v>1980</v>
      </c>
      <c r="B24" s="27">
        <v>338.75</v>
      </c>
      <c r="C24" s="26">
        <f t="shared" si="2"/>
        <v>338.32268189333263</v>
      </c>
      <c r="D24" s="10">
        <f t="shared" si="3"/>
        <v>1.3404770195132869</v>
      </c>
      <c r="F24" s="34">
        <v>5292.2257893235828</v>
      </c>
      <c r="G24" s="14">
        <f t="shared" si="0"/>
        <v>2.487346120982084</v>
      </c>
      <c r="H24" s="19">
        <f t="shared" si="1"/>
        <v>2.3002528006977627</v>
      </c>
      <c r="J24" s="48">
        <f t="shared" si="13"/>
        <v>60.766986453185559</v>
      </c>
      <c r="K24" s="51">
        <f t="shared" si="14"/>
        <v>53.473616337760077</v>
      </c>
      <c r="L24" s="47">
        <f t="shared" si="15"/>
        <v>46.180246222334603</v>
      </c>
      <c r="M24" s="77"/>
      <c r="N24" s="155">
        <f t="shared" si="4"/>
        <v>338.59209798999376</v>
      </c>
      <c r="O24" s="161">
        <f t="shared" si="16"/>
        <v>-0.65335790049675779</v>
      </c>
      <c r="P24" s="157">
        <f t="shared" si="5"/>
        <v>339.24545589049052</v>
      </c>
      <c r="Q24" s="105">
        <f t="shared" si="17"/>
        <v>338.91877694024214</v>
      </c>
      <c r="R24" s="101">
        <f t="shared" si="6"/>
        <v>-0.16877694024213952</v>
      </c>
      <c r="S24" s="105">
        <f t="shared" si="18"/>
        <v>2.8485655557498733E-2</v>
      </c>
      <c r="T24" s="105"/>
      <c r="V24" s="74">
        <f t="shared" si="25"/>
        <v>2040</v>
      </c>
      <c r="W24" s="71">
        <f t="shared" si="19"/>
        <v>472.98960722864911</v>
      </c>
      <c r="X24" s="66">
        <f t="shared" si="20"/>
        <v>457.47874958085777</v>
      </c>
      <c r="Y24" s="61">
        <f t="shared" si="21"/>
        <v>444.73373711160355</v>
      </c>
      <c r="Z24" s="56">
        <f t="shared" si="22"/>
        <v>373.39348093860019</v>
      </c>
      <c r="AA24" s="15">
        <f t="shared" si="7"/>
        <v>-0.57184167035642308</v>
      </c>
      <c r="AB24" s="69">
        <f t="shared" si="8"/>
        <v>0.39133340525887889</v>
      </c>
      <c r="AC24" s="63">
        <f t="shared" si="9"/>
        <v>0.29512589689692748</v>
      </c>
      <c r="AD24" s="58">
        <f t="shared" si="10"/>
        <v>0.2136001375552708</v>
      </c>
      <c r="AE24" s="53">
        <f t="shared" si="11"/>
        <v>-0.2908900836280201</v>
      </c>
      <c r="AG24" s="110">
        <f t="shared" si="23"/>
        <v>0.76788669815115873</v>
      </c>
      <c r="AH24" s="112">
        <f t="shared" si="12"/>
        <v>0.60984745122387307</v>
      </c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15.75" x14ac:dyDescent="0.25">
      <c r="A25" s="24">
        <f t="shared" si="24"/>
        <v>1981</v>
      </c>
      <c r="B25" s="27">
        <v>340.11</v>
      </c>
      <c r="C25" s="26">
        <f t="shared" si="2"/>
        <v>339.6750990547298</v>
      </c>
      <c r="D25" s="10">
        <f t="shared" si="3"/>
        <v>1.3643892317878112</v>
      </c>
      <c r="F25" s="34">
        <v>5148.521496650671</v>
      </c>
      <c r="G25" s="14">
        <f t="shared" si="0"/>
        <v>2.4198051034258152</v>
      </c>
      <c r="H25" s="19">
        <f t="shared" si="1"/>
        <v>2.3539752383048835</v>
      </c>
      <c r="J25" s="48">
        <f t="shared" si="13"/>
        <v>60.303095094039499</v>
      </c>
      <c r="K25" s="51">
        <f t="shared" si="14"/>
        <v>53.229429991763986</v>
      </c>
      <c r="L25" s="47">
        <f t="shared" si="15"/>
        <v>46.155764889488474</v>
      </c>
      <c r="M25" s="77"/>
      <c r="N25" s="155">
        <f t="shared" si="4"/>
        <v>340.11510583078905</v>
      </c>
      <c r="O25" s="161">
        <f t="shared" si="16"/>
        <v>-0.64114560329113601</v>
      </c>
      <c r="P25" s="157">
        <f t="shared" si="5"/>
        <v>340.75625143408018</v>
      </c>
      <c r="Q25" s="105">
        <f t="shared" si="17"/>
        <v>340.43567863243459</v>
      </c>
      <c r="R25" s="101">
        <f t="shared" si="6"/>
        <v>-0.32567863243457396</v>
      </c>
      <c r="S25" s="105">
        <f t="shared" si="18"/>
        <v>0.10606657162445433</v>
      </c>
      <c r="T25" s="105"/>
      <c r="V25" s="74">
        <f t="shared" si="25"/>
        <v>2041</v>
      </c>
      <c r="W25" s="71">
        <f t="shared" si="19"/>
        <v>476.34845513028034</v>
      </c>
      <c r="X25" s="66">
        <f t="shared" si="20"/>
        <v>459.29223089710342</v>
      </c>
      <c r="Y25" s="61">
        <f t="shared" si="21"/>
        <v>445.42568989421926</v>
      </c>
      <c r="Z25" s="56">
        <f t="shared" si="22"/>
        <v>371.77864951918713</v>
      </c>
      <c r="AA25" s="15">
        <f t="shared" si="7"/>
        <v>-0.56028071298379223</v>
      </c>
      <c r="AB25" s="69">
        <f t="shared" si="8"/>
        <v>0.41175105677053503</v>
      </c>
      <c r="AC25" s="63">
        <f t="shared" si="9"/>
        <v>0.30654119676962627</v>
      </c>
      <c r="AD25" s="58">
        <f t="shared" si="10"/>
        <v>0.21808597242391625</v>
      </c>
      <c r="AE25" s="53">
        <f t="shared" si="11"/>
        <v>-0.30339572001632398</v>
      </c>
      <c r="AG25" s="110">
        <f t="shared" si="23"/>
        <v>0.5620287344937851</v>
      </c>
      <c r="AH25" s="112">
        <f t="shared" si="12"/>
        <v>0.58724042277895139</v>
      </c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5.75" x14ac:dyDescent="0.25">
      <c r="A26" s="24">
        <f t="shared" si="24"/>
        <v>1982</v>
      </c>
      <c r="B26" s="27">
        <v>341.45</v>
      </c>
      <c r="C26" s="26">
        <f t="shared" si="2"/>
        <v>341.05152421447565</v>
      </c>
      <c r="D26" s="10">
        <f t="shared" si="3"/>
        <v>1.388493016918062</v>
      </c>
      <c r="F26" s="34">
        <v>5110.3021304094373</v>
      </c>
      <c r="G26" s="14">
        <f t="shared" si="0"/>
        <v>2.4018420012924353</v>
      </c>
      <c r="H26" s="19">
        <f t="shared" si="1"/>
        <v>2.4081809133929255</v>
      </c>
      <c r="J26" s="48">
        <f t="shared" si="13"/>
        <v>59.872755600547272</v>
      </c>
      <c r="K26" s="51">
        <f t="shared" si="14"/>
        <v>53.0079099706251</v>
      </c>
      <c r="L26" s="47">
        <f t="shared" si="15"/>
        <v>46.143064340702928</v>
      </c>
      <c r="M26" s="77"/>
      <c r="N26" s="155">
        <f t="shared" si="4"/>
        <v>341.5421052177515</v>
      </c>
      <c r="O26" s="161">
        <f t="shared" si="16"/>
        <v>-0.62916157332307421</v>
      </c>
      <c r="P26" s="157">
        <f t="shared" si="5"/>
        <v>342.17126679107457</v>
      </c>
      <c r="Q26" s="105">
        <f t="shared" si="17"/>
        <v>341.85668600441306</v>
      </c>
      <c r="R26" s="101">
        <f t="shared" si="6"/>
        <v>-0.4066860044130749</v>
      </c>
      <c r="S26" s="105">
        <f t="shared" si="18"/>
        <v>0.16539350618547158</v>
      </c>
      <c r="T26" s="105"/>
      <c r="V26" s="74">
        <f t="shared" si="25"/>
        <v>2042</v>
      </c>
      <c r="W26" s="71">
        <f t="shared" si="19"/>
        <v>479.74705016551644</v>
      </c>
      <c r="X26" s="66">
        <f t="shared" si="20"/>
        <v>461.07181536631646</v>
      </c>
      <c r="Y26" s="61">
        <f t="shared" si="21"/>
        <v>446.05010527595016</v>
      </c>
      <c r="Z26" s="56">
        <f t="shared" si="22"/>
        <v>370.19400186462286</v>
      </c>
      <c r="AA26" s="15">
        <f t="shared" si="7"/>
        <v>-0.54893489547269825</v>
      </c>
      <c r="AB26" s="69">
        <f t="shared" si="8"/>
        <v>0.43226430812544148</v>
      </c>
      <c r="AC26" s="63">
        <f t="shared" si="9"/>
        <v>0.31769939400066333</v>
      </c>
      <c r="AD26" s="58">
        <f t="shared" si="10"/>
        <v>0.22212799410022552</v>
      </c>
      <c r="AE26" s="53">
        <f t="shared" si="11"/>
        <v>-0.31572052354922375</v>
      </c>
      <c r="AG26" s="110">
        <f t="shared" si="23"/>
        <v>0.55790514083729015</v>
      </c>
      <c r="AH26" s="112">
        <f t="shared" si="12"/>
        <v>0.57309489285591231</v>
      </c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5.75" x14ac:dyDescent="0.25">
      <c r="A27" s="24">
        <f t="shared" si="24"/>
        <v>1983</v>
      </c>
      <c r="B27" s="27">
        <v>343.05</v>
      </c>
      <c r="C27" s="26">
        <f t="shared" si="2"/>
        <v>342.45214894597302</v>
      </c>
      <c r="D27" s="10">
        <f t="shared" si="3"/>
        <v>1.4127883749042098</v>
      </c>
      <c r="F27" s="34">
        <v>5158.7482385146686</v>
      </c>
      <c r="G27" s="14">
        <f t="shared" si="0"/>
        <v>2.4246116721018942</v>
      </c>
      <c r="H27" s="19">
        <f t="shared" si="1"/>
        <v>2.4628698259623434</v>
      </c>
      <c r="J27" s="48">
        <f t="shared" si="13"/>
        <v>59.473623577525331</v>
      </c>
      <c r="K27" s="51">
        <f t="shared" si="14"/>
        <v>52.807474020320676</v>
      </c>
      <c r="L27" s="47">
        <f t="shared" si="15"/>
        <v>46.141324463116014</v>
      </c>
      <c r="M27" s="77"/>
      <c r="N27" s="155">
        <f t="shared" si="4"/>
        <v>342.92446861684294</v>
      </c>
      <c r="O27" s="161">
        <f t="shared" si="16"/>
        <v>-0.61740154391520718</v>
      </c>
      <c r="P27" s="157">
        <f t="shared" si="5"/>
        <v>343.54187016075815</v>
      </c>
      <c r="Q27" s="105">
        <f t="shared" si="17"/>
        <v>343.23316938880055</v>
      </c>
      <c r="R27" s="101">
        <f t="shared" si="6"/>
        <v>-0.18316938880053613</v>
      </c>
      <c r="S27" s="105">
        <f t="shared" si="18"/>
        <v>3.3551024993561968E-2</v>
      </c>
      <c r="T27" s="105"/>
      <c r="V27" s="74">
        <f t="shared" si="25"/>
        <v>2043</v>
      </c>
      <c r="W27" s="71">
        <f t="shared" si="19"/>
        <v>483.18618733734121</v>
      </c>
      <c r="X27" s="66">
        <f t="shared" si="20"/>
        <v>462.81813657442268</v>
      </c>
      <c r="Y27" s="61">
        <f t="shared" si="21"/>
        <v>446.60906469368138</v>
      </c>
      <c r="Z27" s="56">
        <f t="shared" si="22"/>
        <v>368.63897379238693</v>
      </c>
      <c r="AA27" s="15">
        <f t="shared" si="7"/>
        <v>-0.5354458303479579</v>
      </c>
      <c r="AB27" s="69">
        <f t="shared" si="8"/>
        <v>0.45287486364934876</v>
      </c>
      <c r="AC27" s="63">
        <f t="shared" si="9"/>
        <v>0.32860723834679928</v>
      </c>
      <c r="AD27" s="58">
        <f t="shared" si="10"/>
        <v>0.22574150354501019</v>
      </c>
      <c r="AE27" s="53">
        <f t="shared" si="11"/>
        <v>-0.32786635176660062</v>
      </c>
      <c r="AG27" s="110">
        <f t="shared" si="23"/>
        <v>0.659899487579792</v>
      </c>
      <c r="AH27" s="112">
        <f t="shared" si="12"/>
        <v>0.56649252728204902</v>
      </c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5.75" x14ac:dyDescent="0.25">
      <c r="A28" s="24">
        <f t="shared" si="24"/>
        <v>1984</v>
      </c>
      <c r="B28" s="27">
        <v>344.65</v>
      </c>
      <c r="C28" s="26">
        <f t="shared" si="2"/>
        <v>343.87716482192627</v>
      </c>
      <c r="D28" s="10">
        <f t="shared" si="3"/>
        <v>1.4372753057462546</v>
      </c>
      <c r="F28" s="34">
        <v>5308.8640374220604</v>
      </c>
      <c r="G28" s="14">
        <f t="shared" si="0"/>
        <v>2.4951660975883683</v>
      </c>
      <c r="H28" s="19">
        <f t="shared" si="1"/>
        <v>2.5180419760130235</v>
      </c>
      <c r="J28" s="48">
        <f t="shared" si="13"/>
        <v>59.103566550733177</v>
      </c>
      <c r="K28" s="51">
        <f t="shared" si="14"/>
        <v>52.626682878633844</v>
      </c>
      <c r="L28" s="47">
        <f t="shared" si="15"/>
        <v>46.14979920653451</v>
      </c>
      <c r="M28" s="77"/>
      <c r="N28" s="155">
        <f t="shared" si="4"/>
        <v>344.30376311853655</v>
      </c>
      <c r="O28" s="161">
        <f t="shared" si="16"/>
        <v>-0.60586132814108851</v>
      </c>
      <c r="P28" s="157">
        <f t="shared" si="5"/>
        <v>344.90962444667764</v>
      </c>
      <c r="Q28" s="105">
        <f t="shared" si="17"/>
        <v>344.60669378260707</v>
      </c>
      <c r="R28" s="101">
        <f t="shared" si="6"/>
        <v>4.3306217392910185E-2</v>
      </c>
      <c r="S28" s="105">
        <f t="shared" si="18"/>
        <v>1.8754284648819966E-3</v>
      </c>
      <c r="T28" s="105"/>
      <c r="V28" s="74">
        <f t="shared" si="25"/>
        <v>2044</v>
      </c>
      <c r="W28" s="71">
        <f t="shared" si="19"/>
        <v>486.66666985797059</v>
      </c>
      <c r="X28" s="66">
        <f t="shared" si="20"/>
        <v>464.53181626462037</v>
      </c>
      <c r="Y28" s="61">
        <f t="shared" si="21"/>
        <v>447.10459839310226</v>
      </c>
      <c r="Z28" s="56">
        <f t="shared" si="22"/>
        <v>367.11301166542643</v>
      </c>
      <c r="AA28" s="15">
        <f t="shared" si="7"/>
        <v>-0.52201953265746781</v>
      </c>
      <c r="AB28" s="69">
        <f t="shared" si="8"/>
        <v>0.47358438217442589</v>
      </c>
      <c r="AC28" s="63">
        <f t="shared" si="9"/>
        <v>0.33927126004586527</v>
      </c>
      <c r="AD28" s="58">
        <f t="shared" si="10"/>
        <v>0.2289412043598783</v>
      </c>
      <c r="AE28" s="53">
        <f t="shared" si="11"/>
        <v>-0.33983506510091221</v>
      </c>
      <c r="AG28" s="110">
        <f t="shared" si="23"/>
        <v>0.64123987639396041</v>
      </c>
      <c r="AH28" s="112">
        <f t="shared" si="12"/>
        <v>0.5684613411142001</v>
      </c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15.75" x14ac:dyDescent="0.25">
      <c r="A29" s="24">
        <f t="shared" si="24"/>
        <v>1985</v>
      </c>
      <c r="B29" s="27">
        <v>346.12</v>
      </c>
      <c r="C29" s="26">
        <f t="shared" si="2"/>
        <v>345.32676341521437</v>
      </c>
      <c r="D29" s="10">
        <f t="shared" si="3"/>
        <v>1.4619538094441396</v>
      </c>
      <c r="F29" s="34">
        <v>5497.9833725130766</v>
      </c>
      <c r="G29" s="14">
        <f t="shared" si="0"/>
        <v>2.5840521850811458</v>
      </c>
      <c r="H29" s="19">
        <f t="shared" si="1"/>
        <v>2.5736973635450795</v>
      </c>
      <c r="J29" s="48">
        <f t="shared" si="13"/>
        <v>58.760640593993564</v>
      </c>
      <c r="K29" s="51">
        <f t="shared" si="14"/>
        <v>52.464224505787996</v>
      </c>
      <c r="L29" s="47">
        <f t="shared" si="15"/>
        <v>46.167808417582421</v>
      </c>
      <c r="M29" s="77"/>
      <c r="N29" s="155">
        <f t="shared" si="4"/>
        <v>345.7278308400775</v>
      </c>
      <c r="O29" s="161">
        <f t="shared" si="16"/>
        <v>-0.59453681733475605</v>
      </c>
      <c r="P29" s="157">
        <f t="shared" si="5"/>
        <v>346.32236765741226</v>
      </c>
      <c r="Q29" s="105">
        <f t="shared" si="17"/>
        <v>346.02509924874488</v>
      </c>
      <c r="R29" s="101">
        <f t="shared" si="6"/>
        <v>9.490075125512476E-2</v>
      </c>
      <c r="S29" s="105">
        <f t="shared" si="18"/>
        <v>9.0061525887870642E-3</v>
      </c>
      <c r="T29" s="105"/>
      <c r="V29" s="74">
        <f t="shared" si="25"/>
        <v>2045</v>
      </c>
      <c r="W29" s="71">
        <f t="shared" si="19"/>
        <v>490.18930934144549</v>
      </c>
      <c r="X29" s="66">
        <f t="shared" si="20"/>
        <v>466.21346455873964</v>
      </c>
      <c r="Y29" s="61">
        <f t="shared" si="21"/>
        <v>447.53868656983889</v>
      </c>
      <c r="Z29" s="56">
        <f t="shared" si="22"/>
        <v>365.61557219504465</v>
      </c>
      <c r="AA29" s="15">
        <f t="shared" si="7"/>
        <v>-0.50973894773627071</v>
      </c>
      <c r="AB29" s="69">
        <f t="shared" si="8"/>
        <v>0.4943944776281623</v>
      </c>
      <c r="AC29" s="63">
        <f t="shared" si="9"/>
        <v>0.34969777885566367</v>
      </c>
      <c r="AD29" s="58">
        <f t="shared" si="10"/>
        <v>0.23174123391158194</v>
      </c>
      <c r="AE29" s="53">
        <f t="shared" si="11"/>
        <v>-0.35162852616198009</v>
      </c>
      <c r="AG29" s="110">
        <f t="shared" si="23"/>
        <v>0.56887396024235692</v>
      </c>
      <c r="AH29" s="112">
        <f t="shared" si="12"/>
        <v>0.57304543247083672</v>
      </c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15.75" x14ac:dyDescent="0.25">
      <c r="A30" s="24">
        <f t="shared" si="24"/>
        <v>1986</v>
      </c>
      <c r="B30" s="27">
        <v>347.42</v>
      </c>
      <c r="C30" s="26">
        <f t="shared" si="2"/>
        <v>346.80113629848347</v>
      </c>
      <c r="D30" s="10">
        <f t="shared" si="3"/>
        <v>1.4868238859978078</v>
      </c>
      <c r="F30" s="34">
        <v>5576.2670621050611</v>
      </c>
      <c r="G30" s="14">
        <f t="shared" si="0"/>
        <v>2.6208455191893787</v>
      </c>
      <c r="H30" s="19">
        <f t="shared" si="1"/>
        <v>2.629835988558284</v>
      </c>
      <c r="J30" s="48">
        <f t="shared" si="13"/>
        <v>58.443069980485227</v>
      </c>
      <c r="K30" s="51">
        <f t="shared" si="14"/>
        <v>52.318900355055007</v>
      </c>
      <c r="L30" s="47">
        <f t="shared" si="15"/>
        <v>46.194730729624787</v>
      </c>
      <c r="M30" s="77"/>
      <c r="N30" s="155">
        <f t="shared" si="4"/>
        <v>347.21416656085813</v>
      </c>
      <c r="O30" s="161">
        <f t="shared" si="16"/>
        <v>-0.58342397962752557</v>
      </c>
      <c r="P30" s="157">
        <f t="shared" si="5"/>
        <v>347.79759054048566</v>
      </c>
      <c r="Q30" s="105">
        <f t="shared" si="17"/>
        <v>347.50587855067192</v>
      </c>
      <c r="R30" s="101">
        <f t="shared" si="6"/>
        <v>-8.5878550671907306E-2</v>
      </c>
      <c r="S30" s="105">
        <f t="shared" si="18"/>
        <v>7.3751254655073503E-3</v>
      </c>
      <c r="T30" s="105"/>
      <c r="V30" s="74">
        <f t="shared" si="25"/>
        <v>2046</v>
      </c>
      <c r="W30" s="71">
        <f t="shared" si="19"/>
        <v>493.75492599781541</v>
      </c>
      <c r="X30" s="66">
        <f t="shared" si="20"/>
        <v>467.86368017446415</v>
      </c>
      <c r="Y30" s="61">
        <f t="shared" si="21"/>
        <v>447.91326048649205</v>
      </c>
      <c r="Z30" s="56">
        <f t="shared" si="22"/>
        <v>364.14612224747373</v>
      </c>
      <c r="AA30" s="15">
        <f t="shared" si="7"/>
        <v>-0.49892194655562427</v>
      </c>
      <c r="AB30" s="69">
        <f t="shared" si="8"/>
        <v>0.51530671960519669</v>
      </c>
      <c r="AC30" s="63">
        <f t="shared" si="9"/>
        <v>0.35989291263252521</v>
      </c>
      <c r="AD30" s="58">
        <f t="shared" si="10"/>
        <v>0.23415519242849828</v>
      </c>
      <c r="AE30" s="53">
        <f t="shared" si="11"/>
        <v>-0.36324859903536166</v>
      </c>
      <c r="AG30" s="110">
        <f t="shared" si="23"/>
        <v>0.49602313088720251</v>
      </c>
      <c r="AH30" s="112">
        <f t="shared" si="12"/>
        <v>0.56847857202322283</v>
      </c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5.75" x14ac:dyDescent="0.25">
      <c r="A31" s="24">
        <f t="shared" si="24"/>
        <v>1987</v>
      </c>
      <c r="B31" s="27">
        <v>349.19</v>
      </c>
      <c r="C31" s="26">
        <f t="shared" si="2"/>
        <v>348.30047504478716</v>
      </c>
      <c r="D31" s="10">
        <f t="shared" si="3"/>
        <v>1.511885535407373</v>
      </c>
      <c r="F31" s="34">
        <v>5757.0508339376893</v>
      </c>
      <c r="G31" s="14">
        <f t="shared" si="0"/>
        <v>2.7058138919507138</v>
      </c>
      <c r="H31" s="19">
        <f t="shared" si="1"/>
        <v>2.6864578510526371</v>
      </c>
      <c r="J31" s="48">
        <f t="shared" si="13"/>
        <v>58.149229413146479</v>
      </c>
      <c r="K31" s="51">
        <f t="shared" si="14"/>
        <v>52.189613383754136</v>
      </c>
      <c r="L31" s="47">
        <f t="shared" si="15"/>
        <v>46.229997354361792</v>
      </c>
      <c r="M31" s="77"/>
      <c r="N31" s="155">
        <f t="shared" si="4"/>
        <v>348.70951363965764</v>
      </c>
      <c r="O31" s="161">
        <f t="shared" si="16"/>
        <v>-0.57251885851297857</v>
      </c>
      <c r="P31" s="157">
        <f t="shared" si="5"/>
        <v>349.28203249817062</v>
      </c>
      <c r="Q31" s="105">
        <f t="shared" si="17"/>
        <v>348.9957730689141</v>
      </c>
      <c r="R31" s="101">
        <f t="shared" si="6"/>
        <v>0.19422693108589328</v>
      </c>
      <c r="S31" s="105">
        <f t="shared" si="18"/>
        <v>3.7724100759044338E-2</v>
      </c>
      <c r="T31" s="105"/>
      <c r="V31" s="74">
        <f t="shared" si="25"/>
        <v>2047</v>
      </c>
      <c r="W31" s="71">
        <f t="shared" si="19"/>
        <v>497.36434882896083</v>
      </c>
      <c r="X31" s="66">
        <f t="shared" si="20"/>
        <v>469.48305063849284</v>
      </c>
      <c r="Y31" s="61">
        <f t="shared" si="21"/>
        <v>448.2302035660739</v>
      </c>
      <c r="Z31" s="56">
        <f t="shared" si="22"/>
        <v>362.704138654063</v>
      </c>
      <c r="AA31" s="15">
        <f t="shared" si="7"/>
        <v>-0.4842590751198228</v>
      </c>
      <c r="AB31" s="69">
        <f t="shared" si="8"/>
        <v>0.53632263392310431</v>
      </c>
      <c r="AC31" s="63">
        <f t="shared" si="9"/>
        <v>0.36986258547744966</v>
      </c>
      <c r="AD31" s="58">
        <f t="shared" si="10"/>
        <v>0.23619617022530912</v>
      </c>
      <c r="AE31" s="53">
        <f t="shared" si="11"/>
        <v>-0.37469714859460335</v>
      </c>
      <c r="AG31" s="110">
        <f t="shared" si="23"/>
        <v>0.65414698522518422</v>
      </c>
      <c r="AH31" s="112">
        <f t="shared" si="12"/>
        <v>0.57173717672807167</v>
      </c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15.75" x14ac:dyDescent="0.25">
      <c r="A32" s="24">
        <f t="shared" si="24"/>
        <v>1988</v>
      </c>
      <c r="B32" s="27">
        <v>351.57</v>
      </c>
      <c r="C32" s="26">
        <f t="shared" si="2"/>
        <v>349.82497122694622</v>
      </c>
      <c r="D32" s="10">
        <f t="shared" si="3"/>
        <v>1.5371387576727784</v>
      </c>
      <c r="F32" s="34">
        <v>5977.2678844113179</v>
      </c>
      <c r="G32" s="14">
        <f t="shared" si="0"/>
        <v>2.8093159056733192</v>
      </c>
      <c r="H32" s="19">
        <f t="shared" si="1"/>
        <v>2.7435629510282524</v>
      </c>
      <c r="J32" s="48">
        <f t="shared" si="13"/>
        <v>57.877628458974563</v>
      </c>
      <c r="K32" s="51">
        <f t="shared" si="14"/>
        <v>52.075357550820257</v>
      </c>
      <c r="L32" s="47">
        <f t="shared" si="15"/>
        <v>46.273086642665945</v>
      </c>
      <c r="M32" s="77"/>
      <c r="N32" s="155">
        <f t="shared" si="4"/>
        <v>350.26187867853065</v>
      </c>
      <c r="O32" s="161">
        <f t="shared" si="16"/>
        <v>-0.56181757143792765</v>
      </c>
      <c r="P32" s="157">
        <f t="shared" si="5"/>
        <v>350.82369624996858</v>
      </c>
      <c r="Q32" s="105">
        <f t="shared" si="17"/>
        <v>350.54278746424961</v>
      </c>
      <c r="R32" s="101">
        <f t="shared" si="6"/>
        <v>1.0272125357503796</v>
      </c>
      <c r="S32" s="105">
        <f t="shared" si="18"/>
        <v>1.0551655936027249</v>
      </c>
      <c r="T32" s="105"/>
      <c r="V32" s="74">
        <f t="shared" si="25"/>
        <v>2048</v>
      </c>
      <c r="W32" s="71">
        <f t="shared" si="19"/>
        <v>501.0184158261028</v>
      </c>
      <c r="X32" s="66">
        <f t="shared" si="20"/>
        <v>471.07215249571726</v>
      </c>
      <c r="Y32" s="61">
        <f t="shared" si="21"/>
        <v>448.49135246232407</v>
      </c>
      <c r="Z32" s="56">
        <f t="shared" si="22"/>
        <v>361.28910802501508</v>
      </c>
      <c r="AA32" s="15">
        <f t="shared" si="7"/>
        <v>-0.46465962652353338</v>
      </c>
      <c r="AB32" s="69">
        <f t="shared" si="8"/>
        <v>0.55744370316310909</v>
      </c>
      <c r="AC32" s="63">
        <f t="shared" si="9"/>
        <v>0.37961253547580098</v>
      </c>
      <c r="AD32" s="58">
        <f t="shared" si="10"/>
        <v>0.23787677319809228</v>
      </c>
      <c r="AE32" s="53">
        <f t="shared" si="11"/>
        <v>-0.38597603982766554</v>
      </c>
      <c r="AG32" s="110">
        <f t="shared" si="23"/>
        <v>0.84718133521177352</v>
      </c>
      <c r="AH32" s="112">
        <f t="shared" si="12"/>
        <v>0.57722246503541164</v>
      </c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5.75" x14ac:dyDescent="0.25">
      <c r="A33" s="24">
        <f t="shared" si="24"/>
        <v>1989</v>
      </c>
      <c r="B33" s="27">
        <v>353.12</v>
      </c>
      <c r="C33" s="26">
        <f t="shared" si="2"/>
        <v>351.37481641766499</v>
      </c>
      <c r="D33" s="10">
        <f t="shared" si="3"/>
        <v>1.5625835527939671</v>
      </c>
      <c r="F33" s="34">
        <v>6067.3264716739941</v>
      </c>
      <c r="G33" s="14">
        <f t="shared" si="0"/>
        <v>2.8516434416867771</v>
      </c>
      <c r="H33" s="19">
        <f t="shared" si="1"/>
        <v>2.8011512884853573</v>
      </c>
      <c r="J33" s="48">
        <f t="shared" si="13"/>
        <v>57.626897876378408</v>
      </c>
      <c r="K33" s="51">
        <f t="shared" si="14"/>
        <v>51.975208591825492</v>
      </c>
      <c r="L33" s="47">
        <f t="shared" si="15"/>
        <v>46.323519307272569</v>
      </c>
      <c r="M33" s="77"/>
      <c r="N33" s="155">
        <f t="shared" si="4"/>
        <v>351.88872956217534</v>
      </c>
      <c r="O33" s="161">
        <f t="shared" si="16"/>
        <v>-0.55131630842043933</v>
      </c>
      <c r="P33" s="157">
        <f t="shared" si="5"/>
        <v>352.44004587059578</v>
      </c>
      <c r="Q33" s="105">
        <f t="shared" si="17"/>
        <v>352.16438771638559</v>
      </c>
      <c r="R33" s="101">
        <f t="shared" si="6"/>
        <v>0.95561228361441408</v>
      </c>
      <c r="S33" s="105">
        <f t="shared" si="18"/>
        <v>0.91319483659475542</v>
      </c>
      <c r="T33" s="105"/>
      <c r="V33" s="74">
        <f t="shared" si="25"/>
        <v>2049</v>
      </c>
      <c r="W33" s="71">
        <f t="shared" si="19"/>
        <v>504.71797416904849</v>
      </c>
      <c r="X33" s="66">
        <f t="shared" si="20"/>
        <v>472.63155151448888</v>
      </c>
      <c r="Y33" s="61">
        <f t="shared" si="21"/>
        <v>448.69849810737838</v>
      </c>
      <c r="Z33" s="56">
        <f t="shared" si="22"/>
        <v>359.90052656660356</v>
      </c>
      <c r="AA33" s="15">
        <f t="shared" si="7"/>
        <v>-0.45196649382911225</v>
      </c>
      <c r="AB33" s="69">
        <f t="shared" si="8"/>
        <v>0.57867136719666812</v>
      </c>
      <c r="AC33" s="63">
        <f t="shared" si="9"/>
        <v>0.3891483220547145</v>
      </c>
      <c r="AD33" s="58">
        <f t="shared" si="10"/>
        <v>0.23920914671962556</v>
      </c>
      <c r="AE33" s="53">
        <f t="shared" si="11"/>
        <v>-0.39708713717776462</v>
      </c>
      <c r="AG33" s="110">
        <f t="shared" si="23"/>
        <v>0.5435462152600572</v>
      </c>
      <c r="AH33" s="112">
        <f t="shared" si="12"/>
        <v>0.57286878127247398</v>
      </c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15.75" x14ac:dyDescent="0.25">
      <c r="A34" s="24">
        <f t="shared" si="24"/>
        <v>1990</v>
      </c>
      <c r="B34" s="27">
        <v>354.39</v>
      </c>
      <c r="C34" s="26">
        <f t="shared" si="2"/>
        <v>352.95020218999707</v>
      </c>
      <c r="D34" s="10">
        <f t="shared" si="3"/>
        <v>1.5882199207710528</v>
      </c>
      <c r="F34" s="34">
        <v>6200.2019512154357</v>
      </c>
      <c r="G34" s="14">
        <f t="shared" si="0"/>
        <v>2.9140949170712545</v>
      </c>
      <c r="H34" s="19">
        <f t="shared" si="1"/>
        <v>2.8592228634234971</v>
      </c>
      <c r="J34" s="48">
        <f t="shared" si="13"/>
        <v>57.395777572125809</v>
      </c>
      <c r="K34" s="51">
        <f t="shared" si="14"/>
        <v>51.888315893562137</v>
      </c>
      <c r="L34" s="47">
        <f t="shared" si="15"/>
        <v>46.380854214998465</v>
      </c>
      <c r="M34" s="77"/>
      <c r="N34" s="155">
        <f t="shared" si="4"/>
        <v>353.52749955410184</v>
      </c>
      <c r="O34" s="161">
        <f t="shared" si="16"/>
        <v>-0.54101133069298157</v>
      </c>
      <c r="P34" s="157">
        <f t="shared" si="5"/>
        <v>354.06851088479482</v>
      </c>
      <c r="Q34" s="105">
        <f t="shared" si="17"/>
        <v>353.79800521944833</v>
      </c>
      <c r="R34" s="101">
        <f t="shared" si="6"/>
        <v>0.59199478055165855</v>
      </c>
      <c r="S34" s="105">
        <f t="shared" si="18"/>
        <v>0.35045782020040639</v>
      </c>
      <c r="T34" s="105"/>
      <c r="V34" s="74">
        <f t="shared" si="25"/>
        <v>2050</v>
      </c>
      <c r="W34" s="71">
        <f t="shared" si="19"/>
        <v>508.46388042722151</v>
      </c>
      <c r="X34" s="66">
        <f t="shared" si="20"/>
        <v>474.16180288804981</v>
      </c>
      <c r="Y34" s="61">
        <f t="shared" si="21"/>
        <v>448.85338673725232</v>
      </c>
      <c r="Z34" s="56">
        <f t="shared" si="22"/>
        <v>358.53789990180724</v>
      </c>
      <c r="AA34" s="15">
        <f t="shared" si="7"/>
        <v>-0.44160777285094455</v>
      </c>
      <c r="AB34" s="69">
        <f t="shared" si="8"/>
        <v>0.60000702369881942</v>
      </c>
      <c r="AC34" s="63">
        <f t="shared" si="9"/>
        <v>0.39847533298072807</v>
      </c>
      <c r="AD34" s="58">
        <f t="shared" si="10"/>
        <v>0.24020499805346118</v>
      </c>
      <c r="AE34" s="53">
        <f t="shared" si="11"/>
        <v>-0.40803230389886475</v>
      </c>
      <c r="AG34" s="110">
        <f t="shared" si="23"/>
        <v>0.43581284623232752</v>
      </c>
      <c r="AH34" s="112">
        <f t="shared" si="12"/>
        <v>0.57154420814879592</v>
      </c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15.75" x14ac:dyDescent="0.25">
      <c r="A35" s="24">
        <f t="shared" si="24"/>
        <v>1991</v>
      </c>
      <c r="B35" s="27">
        <v>355.61</v>
      </c>
      <c r="C35" s="26">
        <f t="shared" si="2"/>
        <v>354.55132011682144</v>
      </c>
      <c r="D35" s="10">
        <f t="shared" si="3"/>
        <v>1.6140478616040355</v>
      </c>
      <c r="F35" s="34">
        <v>6329.4085884459873</v>
      </c>
      <c r="G35" s="14">
        <f t="shared" si="0"/>
        <v>2.9748220365696141</v>
      </c>
      <c r="H35" s="19">
        <f t="shared" ref="H35:H64" si="26" xml:space="preserve"> 0.000241618740624894*A35*A35 - 0.903329394008265*A35 + 843.650342191228</f>
        <v>2.917777675842899</v>
      </c>
      <c r="J35" s="48">
        <f t="shared" si="13"/>
        <v>57.183105964594041</v>
      </c>
      <c r="K35" s="51">
        <f t="shared" si="14"/>
        <v>51.813895317151186</v>
      </c>
      <c r="L35" s="47">
        <f t="shared" si="15"/>
        <v>46.444684669708337</v>
      </c>
      <c r="M35" s="77"/>
      <c r="N35" s="155">
        <f t="shared" si="4"/>
        <v>355.19808980661048</v>
      </c>
      <c r="O35" s="161">
        <f t="shared" si="16"/>
        <v>-0.53089896937160574</v>
      </c>
      <c r="P35" s="157">
        <f t="shared" si="5"/>
        <v>355.72898877598209</v>
      </c>
      <c r="Q35" s="105">
        <f t="shared" si="17"/>
        <v>355.46353929129629</v>
      </c>
      <c r="R35" s="101">
        <f t="shared" si="6"/>
        <v>0.14646070870372796</v>
      </c>
      <c r="S35" s="105">
        <f t="shared" si="18"/>
        <v>2.1450739193998255E-2</v>
      </c>
      <c r="T35" s="105"/>
      <c r="V35" s="74">
        <f t="shared" si="25"/>
        <v>2051</v>
      </c>
      <c r="W35" s="71">
        <f t="shared" si="19"/>
        <v>512.2570007625261</v>
      </c>
      <c r="X35" s="66">
        <f t="shared" si="20"/>
        <v>475.66345143219843</v>
      </c>
      <c r="Y35" s="61">
        <f t="shared" si="21"/>
        <v>448.95772089559432</v>
      </c>
      <c r="Z35" s="56">
        <f t="shared" si="22"/>
        <v>357.20074289429681</v>
      </c>
      <c r="AA35" s="15">
        <f t="shared" si="7"/>
        <v>-0.43169177464159464</v>
      </c>
      <c r="AB35" s="69">
        <f t="shared" si="8"/>
        <v>0.62145202864914828</v>
      </c>
      <c r="AC35" s="63">
        <f t="shared" si="9"/>
        <v>0.4075987910186073</v>
      </c>
      <c r="AD35" s="58">
        <f t="shared" si="10"/>
        <v>0.24087561739525046</v>
      </c>
      <c r="AE35" s="53">
        <f t="shared" si="11"/>
        <v>-0.41881340142602191</v>
      </c>
      <c r="AG35" s="110">
        <f t="shared" si="23"/>
        <v>0.41010856616043423</v>
      </c>
      <c r="AH35" s="112">
        <f t="shared" si="12"/>
        <v>0.5698255870534481</v>
      </c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15.75" x14ac:dyDescent="0.25">
      <c r="A36" s="24">
        <f t="shared" si="24"/>
        <v>1992</v>
      </c>
      <c r="B36" s="27">
        <v>356.45</v>
      </c>
      <c r="C36" s="26">
        <f t="shared" si="2"/>
        <v>356.17836177090066</v>
      </c>
      <c r="D36" s="10">
        <f t="shared" si="3"/>
        <v>1.6400673752928583</v>
      </c>
      <c r="F36" s="34">
        <v>6131.6663330375304</v>
      </c>
      <c r="G36" s="14">
        <f t="shared" si="0"/>
        <v>2.8818831765276394</v>
      </c>
      <c r="H36" s="19">
        <f t="shared" si="26"/>
        <v>2.9768157257434495</v>
      </c>
      <c r="J36" s="48">
        <f t="shared" si="13"/>
        <v>56.987810566755108</v>
      </c>
      <c r="K36" s="51">
        <f t="shared" si="14"/>
        <v>51.751222844286296</v>
      </c>
      <c r="L36" s="47">
        <f t="shared" si="15"/>
        <v>46.514635121817491</v>
      </c>
      <c r="M36" s="77"/>
      <c r="N36" s="155">
        <f t="shared" ref="N36:N63" si="27">N35+G35-(N35-$AD$70)/$AD$72</f>
        <v>356.89818119258922</v>
      </c>
      <c r="O36" s="161">
        <f t="shared" si="16"/>
        <v>-0.52097562414968479</v>
      </c>
      <c r="P36" s="157">
        <f t="shared" ref="P36:P62" si="28">$AD$72*(P37-G36-$AD$70/$AD$72)/($AD$72-1)</f>
        <v>357.41915681673891</v>
      </c>
      <c r="Q36" s="105">
        <f t="shared" si="17"/>
        <v>357.15866900466403</v>
      </c>
      <c r="R36" s="101">
        <f t="shared" ref="R36:R63" si="29">(B36-Q36)</f>
        <v>-0.70866900466404559</v>
      </c>
      <c r="S36" s="105">
        <f t="shared" si="18"/>
        <v>0.50221175817152908</v>
      </c>
      <c r="T36" s="105"/>
      <c r="V36" s="74">
        <f t="shared" si="25"/>
        <v>2052</v>
      </c>
      <c r="W36" s="71">
        <f t="shared" si="19"/>
        <v>516.09821113409589</v>
      </c>
      <c r="X36" s="66">
        <f t="shared" si="20"/>
        <v>477.13703177926016</v>
      </c>
      <c r="Y36" s="61">
        <f t="shared" si="21"/>
        <v>449.01316041615189</v>
      </c>
      <c r="Z36" s="56">
        <f t="shared" si="22"/>
        <v>355.88857947571182</v>
      </c>
      <c r="AA36" s="15">
        <f t="shared" ref="AA36:AA64" si="30" xml:space="preserve"> $AD$74*LN(B36/$B$64)/LN(2)</f>
        <v>-0.42488412137358572</v>
      </c>
      <c r="AB36" s="69">
        <f t="shared" ref="AB36:AB64" si="31">$AD$74*LN(W36/413)/LN(2)</f>
        <v>0.64300769682121051</v>
      </c>
      <c r="AC36" s="63">
        <f t="shared" ref="AC36:AC64" si="32">$AD$74*LN(X36/413)/LN(2)</f>
        <v>0.41652376027092608</v>
      </c>
      <c r="AD36" s="58">
        <f t="shared" ref="AD36:AD64" si="33">$AD$74*LN(Y36/413)/LN(2)</f>
        <v>0.24123189764060746</v>
      </c>
      <c r="AE36" s="53">
        <f t="shared" ref="AE36:AE64" si="34">$AD$74*LN(Z36/413)/LN(2)</f>
        <v>-0.42943228876075579</v>
      </c>
      <c r="AG36" s="110">
        <f t="shared" si="23"/>
        <v>0.29147607607470233</v>
      </c>
      <c r="AH36" s="112">
        <f t="shared" ref="AH36:AH63" si="35">1-(Q36-$AD$70)/($AD$72*G36)</f>
        <v>0.54495831010004614</v>
      </c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5.75" x14ac:dyDescent="0.25">
      <c r="A37" s="24">
        <f t="shared" si="24"/>
        <v>1993</v>
      </c>
      <c r="B37" s="27">
        <v>357.1</v>
      </c>
      <c r="C37" s="26">
        <f t="shared" si="2"/>
        <v>357.8315187250555</v>
      </c>
      <c r="D37" s="10">
        <f t="shared" si="3"/>
        <v>1.6662784618374076</v>
      </c>
      <c r="F37" s="34">
        <v>6199.8773415566629</v>
      </c>
      <c r="G37" s="14">
        <f t="shared" si="0"/>
        <v>2.9139423505316313</v>
      </c>
      <c r="H37" s="19">
        <f t="shared" si="26"/>
        <v>3.0363370131256033</v>
      </c>
      <c r="J37" s="48">
        <f t="shared" si="13"/>
        <v>56.808899628322102</v>
      </c>
      <c r="K37" s="51">
        <f t="shared" si="14"/>
        <v>51.699628938089006</v>
      </c>
      <c r="L37" s="47">
        <f t="shared" si="15"/>
        <v>46.590358247855903</v>
      </c>
      <c r="M37" s="77"/>
      <c r="N37" s="155">
        <f t="shared" si="27"/>
        <v>358.4735563094423</v>
      </c>
      <c r="O37" s="161">
        <f t="shared" si="16"/>
        <v>-0.51123776201603732</v>
      </c>
      <c r="P37" s="157">
        <f t="shared" si="28"/>
        <v>358.98479407145834</v>
      </c>
      <c r="Q37" s="105">
        <f t="shared" si="17"/>
        <v>358.72917519045029</v>
      </c>
      <c r="R37" s="101">
        <f t="shared" si="29"/>
        <v>-1.6291751904502689</v>
      </c>
      <c r="S37" s="105">
        <f t="shared" si="18"/>
        <v>2.6542118011786702</v>
      </c>
      <c r="T37" s="105"/>
      <c r="V37" s="74">
        <f t="shared" si="25"/>
        <v>2053</v>
      </c>
      <c r="W37" s="71">
        <f t="shared" ref="W37:W64" si="36">W36+5*POWER(1.015,(V37-2020))-(W36-$AD$70)/$AD$72</f>
        <v>519.98839750497507</v>
      </c>
      <c r="X37" s="66">
        <f t="shared" ref="X37:X64" si="37">X36+5-(X36-$AD$70)/$AD$72</f>
        <v>478.58306856843285</v>
      </c>
      <c r="Y37" s="61">
        <f t="shared" ref="Y37:Y64" si="38">Y36+5*POWER(0.985,(V37-2020))-(Y36-$AD$70)/$AD$72</f>
        <v>449.02132338438719</v>
      </c>
      <c r="Z37" s="56">
        <f t="shared" ref="Z37:Z64" si="39">Z36-(Z36-$AD$70)/$AD$72</f>
        <v>354.60094247616581</v>
      </c>
      <c r="AA37" s="15">
        <f t="shared" si="30"/>
        <v>-0.41962729544148419</v>
      </c>
      <c r="AB37" s="69">
        <f t="shared" si="31"/>
        <v>0.66467530226117211</v>
      </c>
      <c r="AC37" s="63">
        <f t="shared" si="32"/>
        <v>0.42525515221665294</v>
      </c>
      <c r="AD37" s="58">
        <f t="shared" si="33"/>
        <v>0.24128435297057385</v>
      </c>
      <c r="AE37" s="53">
        <f t="shared" si="34"/>
        <v>-0.43989082187160405</v>
      </c>
      <c r="AG37" s="110">
        <f t="shared" si="23"/>
        <v>0.22306549746306598</v>
      </c>
      <c r="AH37" s="112">
        <f t="shared" si="35"/>
        <v>0.53989060685917001</v>
      </c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15.75" x14ac:dyDescent="0.25">
      <c r="A38" s="24">
        <f t="shared" si="24"/>
        <v>1994</v>
      </c>
      <c r="B38" s="27">
        <v>358.83</v>
      </c>
      <c r="C38" s="26">
        <f t="shared" si="2"/>
        <v>359.51098255222314</v>
      </c>
      <c r="D38" s="10">
        <f t="shared" si="3"/>
        <v>1.6926811212379107</v>
      </c>
      <c r="F38" s="34">
        <v>6243.9463153321494</v>
      </c>
      <c r="G38" s="14">
        <f t="shared" si="0"/>
        <v>2.9346547682061099</v>
      </c>
      <c r="H38" s="19">
        <f t="shared" si="26"/>
        <v>3.0963415379886783</v>
      </c>
      <c r="J38" s="48">
        <f t="shared" si="13"/>
        <v>56.645454700701322</v>
      </c>
      <c r="K38" s="51">
        <f t="shared" si="14"/>
        <v>51.658493526570759</v>
      </c>
      <c r="L38" s="47">
        <f t="shared" si="15"/>
        <v>46.671532352440195</v>
      </c>
      <c r="M38" s="77"/>
      <c r="N38" s="155">
        <f t="shared" si="27"/>
        <v>360.05154433643293</v>
      </c>
      <c r="O38" s="161">
        <f t="shared" si="16"/>
        <v>-0.50168191599709644</v>
      </c>
      <c r="P38" s="157">
        <f t="shared" si="28"/>
        <v>360.55322625243002</v>
      </c>
      <c r="Q38" s="105">
        <f t="shared" si="17"/>
        <v>360.30238529443147</v>
      </c>
      <c r="R38" s="101">
        <f t="shared" si="29"/>
        <v>-1.4723852944314899</v>
      </c>
      <c r="S38" s="105">
        <f t="shared" si="18"/>
        <v>2.1679184552581052</v>
      </c>
      <c r="T38" s="105"/>
      <c r="V38" s="74">
        <f t="shared" si="25"/>
        <v>2054</v>
      </c>
      <c r="W38" s="71">
        <f t="shared" si="36"/>
        <v>523.92845605078446</v>
      </c>
      <c r="X38" s="66">
        <f t="shared" si="37"/>
        <v>480.0020766325743</v>
      </c>
      <c r="Y38" s="61">
        <f t="shared" si="38"/>
        <v>448.98378707866948</v>
      </c>
      <c r="Z38" s="56">
        <f t="shared" si="39"/>
        <v>353.33737345791974</v>
      </c>
      <c r="AA38" s="15">
        <f t="shared" si="30"/>
        <v>-0.40568253950905431</v>
      </c>
      <c r="AB38" s="69">
        <f t="shared" si="31"/>
        <v>0.6864560787564411</v>
      </c>
      <c r="AC38" s="63">
        <f t="shared" si="32"/>
        <v>0.43379773146579625</v>
      </c>
      <c r="AD38" s="58">
        <f t="shared" si="33"/>
        <v>0.24104313633822852</v>
      </c>
      <c r="AE38" s="53">
        <f t="shared" si="34"/>
        <v>-0.45019085310999202</v>
      </c>
      <c r="AG38" s="110">
        <f t="shared" si="23"/>
        <v>0.58950716068639053</v>
      </c>
      <c r="AH38" s="112">
        <f t="shared" si="35"/>
        <v>0.53311781074538289</v>
      </c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15.75" x14ac:dyDescent="0.25">
      <c r="A39" s="24">
        <f t="shared" si="24"/>
        <v>1995</v>
      </c>
      <c r="B39" s="27">
        <v>360.82</v>
      </c>
      <c r="C39" s="26">
        <f t="shared" si="2"/>
        <v>361.21694482516614</v>
      </c>
      <c r="D39" s="10">
        <f t="shared" si="3"/>
        <v>1.719275353494254</v>
      </c>
      <c r="F39" s="34">
        <v>6378.7016018495515</v>
      </c>
      <c r="G39" s="14">
        <f t="shared" si="0"/>
        <v>2.9979897528692891</v>
      </c>
      <c r="H39" s="19">
        <f t="shared" si="26"/>
        <v>3.1568293003331291</v>
      </c>
      <c r="J39" s="48">
        <f t="shared" si="13"/>
        <v>56.496624007578305</v>
      </c>
      <c r="K39" s="51">
        <f t="shared" si="14"/>
        <v>51.627241529520539</v>
      </c>
      <c r="L39" s="47">
        <f t="shared" si="15"/>
        <v>46.757859051462773</v>
      </c>
      <c r="M39" s="77"/>
      <c r="N39" s="155">
        <f t="shared" si="27"/>
        <v>361.62074967778977</v>
      </c>
      <c r="O39" s="161">
        <f t="shared" si="16"/>
        <v>-0.49230468392238436</v>
      </c>
      <c r="P39" s="157">
        <f t="shared" si="28"/>
        <v>362.11305436171216</v>
      </c>
      <c r="Q39" s="105">
        <f t="shared" si="17"/>
        <v>361.86690201975097</v>
      </c>
      <c r="R39" s="101">
        <f t="shared" si="29"/>
        <v>-1.0469020197509735</v>
      </c>
      <c r="S39" s="105">
        <f t="shared" si="18"/>
        <v>1.0960038389586677</v>
      </c>
      <c r="T39" s="105"/>
      <c r="V39" s="74">
        <f t="shared" si="25"/>
        <v>2055</v>
      </c>
      <c r="W39" s="71">
        <f t="shared" si="36"/>
        <v>527.91929337042143</v>
      </c>
      <c r="X39" s="66">
        <f t="shared" si="37"/>
        <v>481.39456118149815</v>
      </c>
      <c r="Y39" s="61">
        <f t="shared" si="38"/>
        <v>448.90208889146186</v>
      </c>
      <c r="Z39" s="56">
        <f t="shared" si="39"/>
        <v>352.09742255216423</v>
      </c>
      <c r="AA39" s="15">
        <f t="shared" si="30"/>
        <v>-0.38972494651789097</v>
      </c>
      <c r="AB39" s="69">
        <f t="shared" si="31"/>
        <v>0.70835122029499531</v>
      </c>
      <c r="AC39" s="63">
        <f t="shared" si="32"/>
        <v>0.44215612124603021</v>
      </c>
      <c r="AD39" s="58">
        <f t="shared" si="33"/>
        <v>0.24051805593318512</v>
      </c>
      <c r="AE39" s="53">
        <f t="shared" si="34"/>
        <v>-0.46033423064151885</v>
      </c>
      <c r="AG39" s="110">
        <f t="shared" si="23"/>
        <v>0.66377811935328923</v>
      </c>
      <c r="AH39" s="112">
        <f t="shared" si="35"/>
        <v>0.53322677476657077</v>
      </c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5.75" x14ac:dyDescent="0.25">
      <c r="A40" s="24">
        <f t="shared" si="24"/>
        <v>1996</v>
      </c>
      <c r="B40" s="27">
        <v>362.61</v>
      </c>
      <c r="C40" s="26">
        <f t="shared" si="2"/>
        <v>362.94959711693809</v>
      </c>
      <c r="D40" s="10">
        <f t="shared" si="3"/>
        <v>1.7460611586064942</v>
      </c>
      <c r="F40" s="34">
        <v>6577.3898445192362</v>
      </c>
      <c r="G40" s="14">
        <f t="shared" si="0"/>
        <v>3.0913732269240408</v>
      </c>
      <c r="H40" s="19">
        <f t="shared" si="26"/>
        <v>3.2178003001587285</v>
      </c>
      <c r="J40" s="48">
        <f t="shared" si="13"/>
        <v>56.361616522240254</v>
      </c>
      <c r="K40" s="51">
        <f t="shared" si="14"/>
        <v>51.605338862452562</v>
      </c>
      <c r="L40" s="47">
        <f t="shared" si="15"/>
        <v>46.849061202664878</v>
      </c>
      <c r="M40" s="77"/>
      <c r="N40" s="155">
        <f t="shared" si="27"/>
        <v>363.22395906284987</v>
      </c>
      <c r="O40" s="161">
        <f t="shared" si="16"/>
        <v>-0.48310272721357705</v>
      </c>
      <c r="P40" s="157">
        <f t="shared" si="28"/>
        <v>363.70706179006345</v>
      </c>
      <c r="Q40" s="105">
        <f t="shared" si="17"/>
        <v>363.46551042645666</v>
      </c>
      <c r="R40" s="101">
        <f t="shared" si="29"/>
        <v>-0.85551042645664666</v>
      </c>
      <c r="S40" s="105">
        <f t="shared" si="18"/>
        <v>0.73189808977603343</v>
      </c>
      <c r="T40" s="105"/>
      <c r="V40" s="74">
        <f t="shared" si="25"/>
        <v>2056</v>
      </c>
      <c r="W40" s="71">
        <f t="shared" si="36"/>
        <v>531.96182669884604</v>
      </c>
      <c r="X40" s="66">
        <f t="shared" si="37"/>
        <v>482.76101798184396</v>
      </c>
      <c r="Y40" s="61">
        <f t="shared" si="38"/>
        <v>448.77772723091334</v>
      </c>
      <c r="Z40" s="56">
        <f t="shared" si="39"/>
        <v>350.88064829885275</v>
      </c>
      <c r="AA40" s="15">
        <f t="shared" si="30"/>
        <v>-0.37544613920651831</v>
      </c>
      <c r="AB40" s="69">
        <f t="shared" si="31"/>
        <v>0.73036188151609627</v>
      </c>
      <c r="AC40" s="63">
        <f t="shared" si="32"/>
        <v>0.45033480863620284</v>
      </c>
      <c r="AD40" s="58">
        <f t="shared" si="33"/>
        <v>0.23971859069457502</v>
      </c>
      <c r="AE40" s="53">
        <f t="shared" si="34"/>
        <v>-0.47032279789275</v>
      </c>
      <c r="AG40" s="110">
        <f t="shared" si="23"/>
        <v>0.57903069885259217</v>
      </c>
      <c r="AH40" s="112">
        <f t="shared" si="35"/>
        <v>0.53766117119667034</v>
      </c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5.75" x14ac:dyDescent="0.25">
      <c r="A41" s="24">
        <f t="shared" si="24"/>
        <v>1997</v>
      </c>
      <c r="B41" s="27">
        <v>363.73</v>
      </c>
      <c r="C41" s="26">
        <f t="shared" si="2"/>
        <v>364.70913100001053</v>
      </c>
      <c r="D41" s="10">
        <f t="shared" si="3"/>
        <v>1.7730385365744041</v>
      </c>
      <c r="F41" s="34">
        <v>6614.8725624884792</v>
      </c>
      <c r="G41" s="14">
        <f t="shared" si="0"/>
        <v>3.1089901043695849</v>
      </c>
      <c r="H41" s="19">
        <f t="shared" si="26"/>
        <v>3.2792545374658175</v>
      </c>
      <c r="J41" s="48">
        <f t="shared" si="13"/>
        <v>56.239696663611134</v>
      </c>
      <c r="K41" s="51">
        <f t="shared" si="14"/>
        <v>51.592288857654196</v>
      </c>
      <c r="L41" s="47">
        <f t="shared" si="15"/>
        <v>46.944881051697259</v>
      </c>
      <c r="M41" s="77"/>
      <c r="N41" s="155">
        <f t="shared" si="27"/>
        <v>364.89058539140285</v>
      </c>
      <c r="O41" s="161">
        <f t="shared" si="16"/>
        <v>-0.47407276969556733</v>
      </c>
      <c r="P41" s="157">
        <f t="shared" si="28"/>
        <v>365.36465816109842</v>
      </c>
      <c r="Q41" s="105">
        <f t="shared" si="17"/>
        <v>365.12762177625063</v>
      </c>
      <c r="R41" s="101">
        <f t="shared" si="29"/>
        <v>-1.3976217762506167</v>
      </c>
      <c r="S41" s="105">
        <f t="shared" si="18"/>
        <v>1.9533466294499289</v>
      </c>
      <c r="T41" s="105"/>
      <c r="V41" s="74">
        <f t="shared" si="25"/>
        <v>2057</v>
      </c>
      <c r="W41" s="71">
        <f t="shared" si="36"/>
        <v>536.0569841220032</v>
      </c>
      <c r="X41" s="66">
        <f t="shared" si="37"/>
        <v>484.10193353358522</v>
      </c>
      <c r="Y41" s="61">
        <f t="shared" si="38"/>
        <v>448.61216240325768</v>
      </c>
      <c r="Z41" s="56">
        <f t="shared" si="39"/>
        <v>349.68661748952837</v>
      </c>
      <c r="AA41" s="15">
        <f t="shared" si="30"/>
        <v>-0.36654771848653273</v>
      </c>
      <c r="AB41" s="69">
        <f t="shared" si="31"/>
        <v>0.7524891781530435</v>
      </c>
      <c r="AC41" s="63">
        <f t="shared" si="32"/>
        <v>0.45833814956066388</v>
      </c>
      <c r="AD41" s="58">
        <f t="shared" si="33"/>
        <v>0.23865390493747601</v>
      </c>
      <c r="AE41" s="53">
        <f t="shared" si="34"/>
        <v>-0.48015839301357693</v>
      </c>
      <c r="AG41" s="110">
        <f t="shared" si="23"/>
        <v>0.36024559821720914</v>
      </c>
      <c r="AH41" s="112">
        <f t="shared" si="35"/>
        <v>0.53028818684791146</v>
      </c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5.75" x14ac:dyDescent="0.25">
      <c r="A42" s="24">
        <f t="shared" si="24"/>
        <v>1998</v>
      </c>
      <c r="B42" s="27">
        <v>366.7</v>
      </c>
      <c r="C42" s="26">
        <f t="shared" si="2"/>
        <v>366.49573804772808</v>
      </c>
      <c r="D42" s="10">
        <f t="shared" si="3"/>
        <v>1.8002074873983247</v>
      </c>
      <c r="F42" s="34">
        <v>6591.1123805710131</v>
      </c>
      <c r="G42" s="14">
        <f t="shared" si="0"/>
        <v>3.0978228188683761</v>
      </c>
      <c r="H42" s="19">
        <f t="shared" si="26"/>
        <v>3.3411920122539414</v>
      </c>
      <c r="J42" s="48">
        <f t="shared" si="13"/>
        <v>56.1301795394943</v>
      </c>
      <c r="K42" s="51">
        <f t="shared" si="14"/>
        <v>51.587629054987737</v>
      </c>
      <c r="L42" s="47">
        <f t="shared" si="15"/>
        <v>47.045078570481174</v>
      </c>
      <c r="M42" s="77"/>
      <c r="N42" s="155">
        <f t="shared" si="27"/>
        <v>366.54367670340974</v>
      </c>
      <c r="O42" s="161">
        <f t="shared" si="16"/>
        <v>-0.46521159643026522</v>
      </c>
      <c r="P42" s="157">
        <f t="shared" si="28"/>
        <v>367.00888829984001</v>
      </c>
      <c r="Q42" s="105">
        <f t="shared" si="17"/>
        <v>366.77628250162491</v>
      </c>
      <c r="R42" s="101">
        <f t="shared" si="29"/>
        <v>-7.6282501624916677E-2</v>
      </c>
      <c r="S42" s="105">
        <f t="shared" si="18"/>
        <v>5.8190200541554157E-3</v>
      </c>
      <c r="T42" s="105"/>
      <c r="V42" s="74">
        <f t="shared" si="25"/>
        <v>2058</v>
      </c>
      <c r="W42" s="71">
        <f t="shared" si="36"/>
        <v>540.20570479393427</v>
      </c>
      <c r="X42" s="66">
        <f t="shared" si="37"/>
        <v>485.41778524323786</v>
      </c>
      <c r="Y42" s="61">
        <f t="shared" si="38"/>
        <v>448.40681747641293</v>
      </c>
      <c r="Z42" s="56">
        <f t="shared" si="39"/>
        <v>348.51490501308859</v>
      </c>
      <c r="AA42" s="15">
        <f t="shared" si="30"/>
        <v>-0.3430830311902836</v>
      </c>
      <c r="AB42" s="69">
        <f t="shared" si="31"/>
        <v>0.77473418746859324</v>
      </c>
      <c r="AC42" s="63">
        <f t="shared" si="32"/>
        <v>0.46617037355746044</v>
      </c>
      <c r="AD42" s="58">
        <f t="shared" si="33"/>
        <v>0.23733286215264954</v>
      </c>
      <c r="AE42" s="53">
        <f t="shared" si="34"/>
        <v>-0.48984284835518271</v>
      </c>
      <c r="AG42" s="110">
        <f t="shared" si="23"/>
        <v>0.95873785353705321</v>
      </c>
      <c r="AH42" s="112">
        <f t="shared" si="35"/>
        <v>0.51864727116162124</v>
      </c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5.75" x14ac:dyDescent="0.25">
      <c r="A43" s="24">
        <f t="shared" si="24"/>
        <v>1999</v>
      </c>
      <c r="B43" s="27">
        <v>368.38</v>
      </c>
      <c r="C43" s="26">
        <f t="shared" si="2"/>
        <v>368.30960983256227</v>
      </c>
      <c r="D43" s="10">
        <f t="shared" si="3"/>
        <v>1.8275680110780286</v>
      </c>
      <c r="F43" s="34">
        <v>6674.8141651790029</v>
      </c>
      <c r="G43" s="14">
        <f t="shared" si="0"/>
        <v>3.1371626576341312</v>
      </c>
      <c r="H43" s="19">
        <f t="shared" si="26"/>
        <v>3.4036127245233274</v>
      </c>
      <c r="J43" s="48">
        <f t="shared" si="13"/>
        <v>56.032426668602454</v>
      </c>
      <c r="K43" s="51">
        <f t="shared" si="14"/>
        <v>51.590928314981689</v>
      </c>
      <c r="L43" s="47">
        <f t="shared" si="15"/>
        <v>47.14942996136093</v>
      </c>
      <c r="M43" s="77"/>
      <c r="N43" s="155">
        <f t="shared" si="27"/>
        <v>368.15470182688728</v>
      </c>
      <c r="O43" s="161">
        <f t="shared" si="16"/>
        <v>-0.45651605257177152</v>
      </c>
      <c r="P43" s="157">
        <f t="shared" si="28"/>
        <v>368.61121787945905</v>
      </c>
      <c r="Q43" s="105">
        <f t="shared" si="17"/>
        <v>368.38295985317313</v>
      </c>
      <c r="R43" s="101">
        <f t="shared" si="29"/>
        <v>-2.9598531731380717E-3</v>
      </c>
      <c r="S43" s="105">
        <f t="shared" si="18"/>
        <v>8.760730806535512E-6</v>
      </c>
      <c r="T43" s="105"/>
      <c r="V43" s="74">
        <f t="shared" si="25"/>
        <v>2059</v>
      </c>
      <c r="W43" s="71">
        <f t="shared" si="36"/>
        <v>544.40893915612935</v>
      </c>
      <c r="X43" s="66">
        <f t="shared" si="37"/>
        <v>486.70904159383156</v>
      </c>
      <c r="Y43" s="61">
        <f t="shared" si="38"/>
        <v>448.163079125168</v>
      </c>
      <c r="Z43" s="56">
        <f t="shared" si="39"/>
        <v>347.36509370443275</v>
      </c>
      <c r="AA43" s="15">
        <f t="shared" si="30"/>
        <v>-0.32989408909580981</v>
      </c>
      <c r="AB43" s="69">
        <f t="shared" si="31"/>
        <v>0.79709794868363681</v>
      </c>
      <c r="AC43" s="63">
        <f t="shared" si="32"/>
        <v>0.4738355883326234</v>
      </c>
      <c r="AD43" s="58">
        <f t="shared" si="33"/>
        <v>0.23576403803481513</v>
      </c>
      <c r="AE43" s="53">
        <f t="shared" si="34"/>
        <v>-0.49937798996364319</v>
      </c>
      <c r="AG43" s="110">
        <f t="shared" si="23"/>
        <v>0.53551574570474036</v>
      </c>
      <c r="AH43" s="112">
        <f t="shared" si="35"/>
        <v>0.51511063158176706</v>
      </c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5.75" x14ac:dyDescent="0.25">
      <c r="A44" s="24">
        <f t="shared" si="24"/>
        <v>2000</v>
      </c>
      <c r="B44" s="27">
        <v>369.55</v>
      </c>
      <c r="C44" s="26">
        <f t="shared" si="2"/>
        <v>370.15093792733387</v>
      </c>
      <c r="D44" s="10">
        <f t="shared" si="3"/>
        <v>1.8551201076135158</v>
      </c>
      <c r="F44" s="34">
        <v>6865.2728054444251</v>
      </c>
      <c r="G44" s="14">
        <f t="shared" si="0"/>
        <v>3.2266782185588796</v>
      </c>
      <c r="H44" s="19">
        <f t="shared" si="26"/>
        <v>3.4665166742742031</v>
      </c>
      <c r="J44" s="48">
        <f t="shared" si="13"/>
        <v>55.945842130068904</v>
      </c>
      <c r="K44" s="51">
        <f t="shared" si="14"/>
        <v>51.601784221030307</v>
      </c>
      <c r="L44" s="47">
        <f t="shared" si="15"/>
        <v>47.257726311991711</v>
      </c>
      <c r="M44" s="77"/>
      <c r="N44" s="155">
        <f t="shared" si="27"/>
        <v>369.77495417000011</v>
      </c>
      <c r="O44" s="161">
        <f t="shared" si="16"/>
        <v>-0.44798304224337926</v>
      </c>
      <c r="P44" s="157">
        <f t="shared" si="28"/>
        <v>370.22293721224349</v>
      </c>
      <c r="Q44" s="105">
        <f t="shared" si="17"/>
        <v>369.99894569112178</v>
      </c>
      <c r="R44" s="101">
        <f t="shared" si="29"/>
        <v>-0.44894569112176441</v>
      </c>
      <c r="S44" s="105">
        <f t="shared" si="18"/>
        <v>0.20155223357679869</v>
      </c>
      <c r="T44" s="105"/>
      <c r="V44" s="74">
        <f t="shared" si="25"/>
        <v>2060</v>
      </c>
      <c r="W44" s="71">
        <f t="shared" si="36"/>
        <v>548.66764915917258</v>
      </c>
      <c r="X44" s="66">
        <f t="shared" si="37"/>
        <v>487.97616231170389</v>
      </c>
      <c r="Y44" s="61">
        <f t="shared" si="38"/>
        <v>447.88229845833376</v>
      </c>
      <c r="Z44" s="56">
        <f t="shared" si="39"/>
        <v>346.23677419593866</v>
      </c>
      <c r="AA44" s="15">
        <f t="shared" si="30"/>
        <v>-0.3207444157540606</v>
      </c>
      <c r="AB44" s="69">
        <f t="shared" si="31"/>
        <v>0.81958146339970406</v>
      </c>
      <c r="AC44" s="63">
        <f t="shared" si="32"/>
        <v>0.481337784112015</v>
      </c>
      <c r="AD44" s="58">
        <f t="shared" si="33"/>
        <v>0.23395573279040754</v>
      </c>
      <c r="AE44" s="53">
        <f t="shared" si="34"/>
        <v>-0.50876563708915445</v>
      </c>
      <c r="AG44" s="110">
        <f t="shared" si="23"/>
        <v>0.36260200762212014</v>
      </c>
      <c r="AH44" s="112">
        <f t="shared" si="35"/>
        <v>0.51920146436425174</v>
      </c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5.75" x14ac:dyDescent="0.25">
      <c r="A45" s="24">
        <f t="shared" si="24"/>
        <v>2001</v>
      </c>
      <c r="B45" s="27">
        <v>371.14</v>
      </c>
      <c r="C45" s="26">
        <f t="shared" si="2"/>
        <v>372.01991390521289</v>
      </c>
      <c r="D45" s="10">
        <f t="shared" si="3"/>
        <v>1.8828637770049568</v>
      </c>
      <c r="F45" s="34">
        <v>6922.6207173081593</v>
      </c>
      <c r="G45" s="14">
        <f t="shared" si="0"/>
        <v>3.2536317371348349</v>
      </c>
      <c r="H45" s="19">
        <f t="shared" si="26"/>
        <v>3.5299038615059999</v>
      </c>
      <c r="J45" s="48">
        <f t="shared" si="13"/>
        <v>55.869869088881067</v>
      </c>
      <c r="K45" s="51">
        <f t="shared" si="14"/>
        <v>51.619820734945229</v>
      </c>
      <c r="L45" s="47">
        <f t="shared" si="15"/>
        <v>47.36977238100939</v>
      </c>
      <c r="M45" s="77"/>
      <c r="N45" s="155">
        <f t="shared" si="27"/>
        <v>371.45443698351227</v>
      </c>
      <c r="O45" s="161">
        <f t="shared" si="16"/>
        <v>-0.43960952743515236</v>
      </c>
      <c r="P45" s="157">
        <f t="shared" si="28"/>
        <v>371.89404651094742</v>
      </c>
      <c r="Q45" s="105">
        <f t="shared" si="17"/>
        <v>371.67424174722987</v>
      </c>
      <c r="R45" s="101">
        <f t="shared" si="29"/>
        <v>-0.53424174722988482</v>
      </c>
      <c r="S45" s="105">
        <f t="shared" si="18"/>
        <v>0.28541424448324015</v>
      </c>
      <c r="T45" s="105"/>
      <c r="V45" s="74">
        <f t="shared" si="25"/>
        <v>2061</v>
      </c>
      <c r="W45" s="71">
        <f t="shared" si="36"/>
        <v>552.98280848673426</v>
      </c>
      <c r="X45" s="66">
        <f t="shared" si="37"/>
        <v>489.21959853017671</v>
      </c>
      <c r="Y45" s="61">
        <f t="shared" si="38"/>
        <v>447.5657918282302</v>
      </c>
      <c r="Z45" s="56">
        <f t="shared" si="39"/>
        <v>345.12954477171553</v>
      </c>
      <c r="AA45" s="15">
        <f t="shared" si="30"/>
        <v>-0.30835656853861443</v>
      </c>
      <c r="AB45" s="69">
        <f t="shared" si="31"/>
        <v>0.8421856960158306</v>
      </c>
      <c r="AC45" s="63">
        <f t="shared" si="32"/>
        <v>0.48868083780147481</v>
      </c>
      <c r="AD45" s="58">
        <f t="shared" si="33"/>
        <v>0.23191598277193876</v>
      </c>
      <c r="AE45" s="53">
        <f t="shared" si="34"/>
        <v>-0.5180076017108779</v>
      </c>
      <c r="AG45" s="110">
        <f t="shared" si="23"/>
        <v>0.48868468482549821</v>
      </c>
      <c r="AH45" s="112">
        <f t="shared" si="35"/>
        <v>0.51356015821920042</v>
      </c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5.75" x14ac:dyDescent="0.25">
      <c r="A46" s="24">
        <f t="shared" si="24"/>
        <v>2002</v>
      </c>
      <c r="B46" s="27">
        <v>373.28</v>
      </c>
      <c r="C46" s="26">
        <f t="shared" si="2"/>
        <v>373.91672933902009</v>
      </c>
      <c r="D46" s="10">
        <f t="shared" si="3"/>
        <v>1.9107990192522948</v>
      </c>
      <c r="F46" s="34">
        <v>7074.0758547469404</v>
      </c>
      <c r="G46" s="14">
        <f t="shared" si="0"/>
        <v>3.3248156517310621</v>
      </c>
      <c r="H46" s="19">
        <f t="shared" si="26"/>
        <v>3.5937742862191726</v>
      </c>
      <c r="J46" s="48">
        <f t="shared" si="13"/>
        <v>55.803986655300292</v>
      </c>
      <c r="K46" s="51">
        <f t="shared" si="14"/>
        <v>51.644686077689506</v>
      </c>
      <c r="L46" s="47">
        <f t="shared" si="15"/>
        <v>47.485385500078721</v>
      </c>
      <c r="M46" s="77"/>
      <c r="N46" s="155">
        <f t="shared" si="27"/>
        <v>373.12948111347862</v>
      </c>
      <c r="O46" s="161">
        <f t="shared" si="16"/>
        <v>-0.43139252692236596</v>
      </c>
      <c r="P46" s="157">
        <f t="shared" si="28"/>
        <v>373.56087364040098</v>
      </c>
      <c r="Q46" s="105">
        <f t="shared" si="17"/>
        <v>373.34517737693977</v>
      </c>
      <c r="R46" s="101">
        <f t="shared" si="29"/>
        <v>-6.5177376939800524E-2</v>
      </c>
      <c r="S46" s="105">
        <f t="shared" si="18"/>
        <v>4.2480904647528408E-3</v>
      </c>
      <c r="T46" s="105"/>
      <c r="V46" s="74">
        <f t="shared" si="25"/>
        <v>2062</v>
      </c>
      <c r="W46" s="71">
        <f t="shared" si="36"/>
        <v>557.35540278196322</v>
      </c>
      <c r="X46" s="66">
        <f t="shared" si="37"/>
        <v>490.4397929501734</v>
      </c>
      <c r="Y46" s="61">
        <f t="shared" si="38"/>
        <v>447.21484162287226</v>
      </c>
      <c r="Z46" s="56">
        <f t="shared" si="39"/>
        <v>344.04301122458065</v>
      </c>
      <c r="AA46" s="15">
        <f t="shared" si="30"/>
        <v>-0.29176713841994167</v>
      </c>
      <c r="AB46" s="69">
        <f t="shared" si="31"/>
        <v>0.86491157414030706</v>
      </c>
      <c r="AC46" s="63">
        <f t="shared" si="32"/>
        <v>0.49586851696536083</v>
      </c>
      <c r="AD46" s="58">
        <f t="shared" si="33"/>
        <v>0.22965257148249599</v>
      </c>
      <c r="AE46" s="53">
        <f t="shared" si="34"/>
        <v>-0.52710568807736335</v>
      </c>
      <c r="AG46" s="110">
        <f t="shared" si="23"/>
        <v>0.64364470820684372</v>
      </c>
      <c r="AH46" s="112">
        <f t="shared" si="35"/>
        <v>0.51458104203119115</v>
      </c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5.75" x14ac:dyDescent="0.25">
      <c r="A47" s="24">
        <f t="shared" si="24"/>
        <v>2003</v>
      </c>
      <c r="B47" s="27">
        <v>375.8</v>
      </c>
      <c r="C47" s="26">
        <f t="shared" si="2"/>
        <v>375.84157580151805</v>
      </c>
      <c r="D47" s="10">
        <f t="shared" si="3"/>
        <v>1.9389258343553593</v>
      </c>
      <c r="F47" s="34">
        <v>7414.8367421892362</v>
      </c>
      <c r="G47" s="14">
        <f t="shared" si="0"/>
        <v>3.484973268828941</v>
      </c>
      <c r="H47" s="19">
        <f t="shared" si="26"/>
        <v>3.6581279484136076</v>
      </c>
      <c r="J47" s="48">
        <f t="shared" si="13"/>
        <v>55.747707042588502</v>
      </c>
      <c r="K47" s="51">
        <f t="shared" si="14"/>
        <v>51.676050811619703</v>
      </c>
      <c r="L47" s="47">
        <f t="shared" si="15"/>
        <v>47.604394580650904</v>
      </c>
      <c r="M47" s="77"/>
      <c r="N47" s="155">
        <f t="shared" si="27"/>
        <v>374.84439992196707</v>
      </c>
      <c r="O47" s="161">
        <f t="shared" si="16"/>
        <v>-0.42332911520418293</v>
      </c>
      <c r="P47" s="157">
        <f t="shared" si="28"/>
        <v>375.26772903717125</v>
      </c>
      <c r="Q47" s="105">
        <f t="shared" si="17"/>
        <v>375.05606447956916</v>
      </c>
      <c r="R47" s="101">
        <f t="shared" si="29"/>
        <v>0.74393552043085265</v>
      </c>
      <c r="S47" s="105">
        <f t="shared" si="18"/>
        <v>0.55344005855872358</v>
      </c>
      <c r="T47" s="105"/>
      <c r="V47" s="74">
        <f t="shared" si="25"/>
        <v>2063</v>
      </c>
      <c r="W47" s="71">
        <f t="shared" si="36"/>
        <v>561.78642987633225</v>
      </c>
      <c r="X47" s="66">
        <f t="shared" si="37"/>
        <v>491.6371799978337</v>
      </c>
      <c r="Y47" s="61">
        <f t="shared" si="38"/>
        <v>446.83069704121021</v>
      </c>
      <c r="Z47" s="56">
        <f t="shared" si="39"/>
        <v>342.97678671570998</v>
      </c>
      <c r="AA47" s="15">
        <f t="shared" si="30"/>
        <v>-0.27235342977350446</v>
      </c>
      <c r="AB47" s="69">
        <f t="shared" si="31"/>
        <v>0.88775998899778363</v>
      </c>
      <c r="AC47" s="63">
        <f t="shared" si="32"/>
        <v>0.50290448363295903</v>
      </c>
      <c r="AD47" s="58">
        <f t="shared" si="33"/>
        <v>0.2271730399907054</v>
      </c>
      <c r="AE47" s="53">
        <f t="shared" si="34"/>
        <v>-0.53606169226249956</v>
      </c>
      <c r="AG47" s="110">
        <f t="shared" si="23"/>
        <v>0.72310454216104703</v>
      </c>
      <c r="AH47" s="112">
        <f t="shared" si="35"/>
        <v>0.52771294919150336</v>
      </c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15.75" x14ac:dyDescent="0.25">
      <c r="A48" s="24">
        <f t="shared" si="24"/>
        <v>2004</v>
      </c>
      <c r="B48" s="27">
        <v>377.52</v>
      </c>
      <c r="C48" s="26">
        <f t="shared" si="2"/>
        <v>377.79464486535289</v>
      </c>
      <c r="D48" s="10">
        <f t="shared" si="3"/>
        <v>1.9672442223142639</v>
      </c>
      <c r="F48" s="34">
        <v>7763.1980408803402</v>
      </c>
      <c r="G48" s="14">
        <f t="shared" si="0"/>
        <v>3.6487030792137598</v>
      </c>
      <c r="H48" s="19">
        <f t="shared" si="26"/>
        <v>3.7229648480894184</v>
      </c>
      <c r="J48" s="48">
        <f t="shared" si="13"/>
        <v>55.700572989610087</v>
      </c>
      <c r="K48" s="51">
        <f t="shared" si="14"/>
        <v>51.713606101350472</v>
      </c>
      <c r="L48" s="47">
        <f t="shared" si="15"/>
        <v>47.726639213090849</v>
      </c>
      <c r="M48" s="77"/>
      <c r="N48" s="155">
        <f t="shared" si="27"/>
        <v>376.68742179038537</v>
      </c>
      <c r="O48" s="161">
        <f t="shared" si="16"/>
        <v>-0.41541642146211188</v>
      </c>
      <c r="P48" s="157">
        <f t="shared" si="28"/>
        <v>377.10283821184748</v>
      </c>
      <c r="Q48" s="105">
        <f t="shared" si="17"/>
        <v>376.8951300011164</v>
      </c>
      <c r="R48" s="101">
        <f t="shared" si="29"/>
        <v>0.62486999888358241</v>
      </c>
      <c r="S48" s="105">
        <f t="shared" si="18"/>
        <v>0.39046251550476829</v>
      </c>
      <c r="T48" s="105"/>
      <c r="V48" s="74">
        <f t="shared" si="25"/>
        <v>2064</v>
      </c>
      <c r="W48" s="71">
        <f t="shared" si="36"/>
        <v>566.27690002099257</v>
      </c>
      <c r="X48" s="66">
        <f t="shared" si="37"/>
        <v>492.81218597918257</v>
      </c>
      <c r="Y48" s="61">
        <f t="shared" si="38"/>
        <v>446.41457485177443</v>
      </c>
      <c r="Z48" s="56">
        <f t="shared" si="39"/>
        <v>341.93049163691165</v>
      </c>
      <c r="AA48" s="15">
        <f t="shared" si="30"/>
        <v>-0.25917741011465462</v>
      </c>
      <c r="AB48" s="69">
        <f t="shared" si="31"/>
        <v>0.91073179583220576</v>
      </c>
      <c r="AC48" s="63">
        <f t="shared" si="32"/>
        <v>0.50979229794165426</v>
      </c>
      <c r="AD48" s="58">
        <f t="shared" si="33"/>
        <v>0.2244846967935045</v>
      </c>
      <c r="AE48" s="53">
        <f t="shared" si="34"/>
        <v>-0.54487740173691956</v>
      </c>
      <c r="AG48" s="110">
        <f t="shared" si="23"/>
        <v>0.47140037505342974</v>
      </c>
      <c r="AH48" s="112">
        <f t="shared" si="35"/>
        <v>0.53948491634423146</v>
      </c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15.75" x14ac:dyDescent="0.25">
      <c r="A49" s="24">
        <f t="shared" si="24"/>
        <v>2005</v>
      </c>
      <c r="B49" s="27">
        <v>379.8</v>
      </c>
      <c r="C49" s="26">
        <f t="shared" si="2"/>
        <v>379.77612810369465</v>
      </c>
      <c r="D49" s="10">
        <f t="shared" si="3"/>
        <v>1.9957541831290655</v>
      </c>
      <c r="F49" s="34">
        <v>8024.3176318479218</v>
      </c>
      <c r="G49" s="14">
        <f t="shared" si="0"/>
        <v>3.7714292869685231</v>
      </c>
      <c r="H49" s="19">
        <f t="shared" si="26"/>
        <v>3.7882849852462641</v>
      </c>
      <c r="J49" s="48">
        <f t="shared" si="13"/>
        <v>55.662155420619165</v>
      </c>
      <c r="K49" s="51">
        <f t="shared" si="14"/>
        <v>51.757062134784334</v>
      </c>
      <c r="L49" s="47">
        <f t="shared" si="15"/>
        <v>47.851968848949497</v>
      </c>
      <c r="M49" s="77"/>
      <c r="N49" s="155">
        <f t="shared" si="27"/>
        <v>378.65972446230222</v>
      </c>
      <c r="O49" s="161">
        <f t="shared" si="16"/>
        <v>-0.40765162853756465</v>
      </c>
      <c r="P49" s="157">
        <f t="shared" si="28"/>
        <v>379.06737609083979</v>
      </c>
      <c r="Q49" s="105">
        <f t="shared" si="17"/>
        <v>378.863550276571</v>
      </c>
      <c r="R49" s="101">
        <f t="shared" si="29"/>
        <v>0.93644972342900701</v>
      </c>
      <c r="S49" s="105">
        <f t="shared" si="18"/>
        <v>0.87693808451026367</v>
      </c>
      <c r="T49" s="105"/>
      <c r="V49" s="74">
        <f t="shared" si="25"/>
        <v>2065</v>
      </c>
      <c r="W49" s="71">
        <f t="shared" si="36"/>
        <v>570.8278361206917</v>
      </c>
      <c r="X49" s="66">
        <f t="shared" si="37"/>
        <v>493.96522923190815</v>
      </c>
      <c r="Y49" s="61">
        <f t="shared" si="38"/>
        <v>445.96766013506459</v>
      </c>
      <c r="Z49" s="56">
        <f t="shared" si="39"/>
        <v>340.90375347547405</v>
      </c>
      <c r="AA49" s="15">
        <f t="shared" si="30"/>
        <v>-0.24180375231462051</v>
      </c>
      <c r="AB49" s="69">
        <f t="shared" si="31"/>
        <v>0.93382781430601391</v>
      </c>
      <c r="AC49" s="63">
        <f t="shared" si="32"/>
        <v>0.51653542162524502</v>
      </c>
      <c r="AD49" s="58">
        <f t="shared" si="33"/>
        <v>0.221594627161351</v>
      </c>
      <c r="AE49" s="53">
        <f t="shared" si="34"/>
        <v>-0.55355459495477799</v>
      </c>
      <c r="AG49" s="110">
        <f t="shared" si="23"/>
        <v>0.6045453398471895</v>
      </c>
      <c r="AH49" s="112">
        <f t="shared" si="35"/>
        <v>0.54471486127628888</v>
      </c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15.75" x14ac:dyDescent="0.25">
      <c r="A50" s="24">
        <f t="shared" si="24"/>
        <v>2006</v>
      </c>
      <c r="B50" s="27">
        <v>381.9</v>
      </c>
      <c r="C50" s="26">
        <f t="shared" si="2"/>
        <v>381.78621708930586</v>
      </c>
      <c r="D50" s="10">
        <f t="shared" si="3"/>
        <v>2.0244557167997073</v>
      </c>
      <c r="F50" s="34">
        <v>8290.3047925045757</v>
      </c>
      <c r="G50" s="14">
        <f t="shared" si="0"/>
        <v>3.8964432524771504</v>
      </c>
      <c r="H50" s="19">
        <f t="shared" si="26"/>
        <v>3.854088359884372</v>
      </c>
      <c r="J50" s="48">
        <f t="shared" si="13"/>
        <v>55.632051315885811</v>
      </c>
      <c r="K50" s="51">
        <f t="shared" si="14"/>
        <v>51.806146686091736</v>
      </c>
      <c r="L50" s="47">
        <f t="shared" si="15"/>
        <v>47.980242056297655</v>
      </c>
      <c r="M50" s="77"/>
      <c r="N50" s="155">
        <f t="shared" si="27"/>
        <v>380.71788787147068</v>
      </c>
      <c r="O50" s="161">
        <f t="shared" si="16"/>
        <v>-0.40003197192936568</v>
      </c>
      <c r="P50" s="157">
        <f t="shared" si="28"/>
        <v>381.11791984340005</v>
      </c>
      <c r="Q50" s="105">
        <f t="shared" si="17"/>
        <v>380.91790385743536</v>
      </c>
      <c r="R50" s="101">
        <f t="shared" si="29"/>
        <v>0.98209614256461464</v>
      </c>
      <c r="S50" s="105">
        <f t="shared" si="18"/>
        <v>0.96451283324029591</v>
      </c>
      <c r="T50" s="105"/>
      <c r="V50" s="74">
        <f t="shared" si="25"/>
        <v>2066</v>
      </c>
      <c r="W50" s="71">
        <f t="shared" si="36"/>
        <v>575.44027397030914</v>
      </c>
      <c r="X50" s="66">
        <f t="shared" si="37"/>
        <v>495.09672027430241</v>
      </c>
      <c r="Y50" s="61">
        <f t="shared" si="38"/>
        <v>445.49110701002007</v>
      </c>
      <c r="Z50" s="56">
        <f t="shared" si="39"/>
        <v>339.89620668153998</v>
      </c>
      <c r="AA50" s="15">
        <f t="shared" si="30"/>
        <v>-0.22589372336858751</v>
      </c>
      <c r="AB50" s="69">
        <f t="shared" si="31"/>
        <v>0.95704882889600917</v>
      </c>
      <c r="AC50" s="63">
        <f t="shared" si="32"/>
        <v>0.52313722135525664</v>
      </c>
      <c r="AD50" s="58">
        <f t="shared" si="33"/>
        <v>0.21850970199800288</v>
      </c>
      <c r="AE50" s="53">
        <f t="shared" si="34"/>
        <v>-0.56209504095579943</v>
      </c>
      <c r="AG50" s="110">
        <f t="shared" si="23"/>
        <v>0.5389530563969841</v>
      </c>
      <c r="AH50" s="112">
        <f t="shared" si="35"/>
        <v>0.54946736685034514</v>
      </c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5.75" x14ac:dyDescent="0.25">
      <c r="A51" s="24">
        <f t="shared" si="24"/>
        <v>2007</v>
      </c>
      <c r="B51" s="27">
        <v>383.79</v>
      </c>
      <c r="C51" s="26">
        <f t="shared" si="2"/>
        <v>383.82510339483269</v>
      </c>
      <c r="D51" s="10">
        <f t="shared" si="3"/>
        <v>2.0533488233261323</v>
      </c>
      <c r="F51" s="34">
        <v>8537.7023814016557</v>
      </c>
      <c r="G51" s="14">
        <f t="shared" si="0"/>
        <v>4.0127201192587778</v>
      </c>
      <c r="H51" s="19">
        <f t="shared" si="26"/>
        <v>3.9203749720037422</v>
      </c>
      <c r="J51" s="48">
        <f t="shared" si="13"/>
        <v>55.6098817728775</v>
      </c>
      <c r="K51" s="51">
        <f t="shared" si="14"/>
        <v>51.860603807511026</v>
      </c>
      <c r="L51" s="47">
        <f t="shared" si="15"/>
        <v>48.111325842144545</v>
      </c>
      <c r="M51" s="77"/>
      <c r="N51" s="155">
        <f t="shared" si="27"/>
        <v>382.86259490205117</v>
      </c>
      <c r="O51" s="161">
        <f t="shared" si="16"/>
        <v>-0.39255473880916725</v>
      </c>
      <c r="P51" s="157">
        <f t="shared" si="28"/>
        <v>383.25514964086034</v>
      </c>
      <c r="Q51" s="105">
        <f t="shared" si="17"/>
        <v>383.05887227145575</v>
      </c>
      <c r="R51" s="101">
        <f t="shared" si="29"/>
        <v>0.73112772854426566</v>
      </c>
      <c r="S51" s="105">
        <f t="shared" si="18"/>
        <v>0.5345477554462974</v>
      </c>
      <c r="T51" s="105"/>
      <c r="V51" s="74">
        <f t="shared" si="25"/>
        <v>2067</v>
      </c>
      <c r="W51" s="71">
        <f t="shared" si="36"/>
        <v>580.115262494067</v>
      </c>
      <c r="X51" s="66">
        <f t="shared" si="37"/>
        <v>496.20706195141827</v>
      </c>
      <c r="Y51" s="61">
        <f t="shared" si="38"/>
        <v>444.9860393448983</v>
      </c>
      <c r="Z51" s="56">
        <f t="shared" si="39"/>
        <v>338.9074925379598</v>
      </c>
      <c r="AA51" s="15">
        <f t="shared" si="30"/>
        <v>-0.21164932072499651</v>
      </c>
      <c r="AB51" s="69">
        <f t="shared" si="31"/>
        <v>0.98039558928628834</v>
      </c>
      <c r="AC51" s="63">
        <f t="shared" si="32"/>
        <v>0.52960097194267319</v>
      </c>
      <c r="AD51" s="58">
        <f t="shared" si="33"/>
        <v>0.21523658624470504</v>
      </c>
      <c r="AE51" s="53">
        <f t="shared" si="34"/>
        <v>-0.57050049898248001</v>
      </c>
      <c r="AG51" s="110">
        <f t="shared" si="23"/>
        <v>0.471002198964517</v>
      </c>
      <c r="AH51" s="112">
        <f t="shared" si="35"/>
        <v>0.55254967047513925</v>
      </c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5.75" x14ac:dyDescent="0.25">
      <c r="A52" s="24">
        <f t="shared" si="24"/>
        <v>2008</v>
      </c>
      <c r="B52" s="27">
        <v>385.6</v>
      </c>
      <c r="C52" s="26">
        <f t="shared" si="2"/>
        <v>385.89297859344515</v>
      </c>
      <c r="D52" s="10">
        <f t="shared" si="3"/>
        <v>2.0824335027085681</v>
      </c>
      <c r="F52" s="34">
        <v>8732.0954889180484</v>
      </c>
      <c r="G52" s="14">
        <f t="shared" si="0"/>
        <v>4.1040848797914826</v>
      </c>
      <c r="H52" s="19">
        <f t="shared" si="26"/>
        <v>3.9871448216046019</v>
      </c>
      <c r="J52" s="48">
        <f t="shared" si="13"/>
        <v>55.595290237903598</v>
      </c>
      <c r="K52" s="51">
        <f t="shared" si="14"/>
        <v>51.920192636206565</v>
      </c>
      <c r="L52" s="47">
        <f t="shared" si="15"/>
        <v>48.245095034509532</v>
      </c>
      <c r="M52" s="77"/>
      <c r="N52" s="155">
        <f t="shared" si="27"/>
        <v>385.08349081753329</v>
      </c>
      <c r="O52" s="161">
        <f t="shared" si="16"/>
        <v>-0.38521726705573656</v>
      </c>
      <c r="P52" s="157">
        <f t="shared" si="28"/>
        <v>385.46870808458903</v>
      </c>
      <c r="Q52" s="105">
        <f t="shared" si="17"/>
        <v>385.27609945106116</v>
      </c>
      <c r="R52" s="101">
        <f t="shared" si="29"/>
        <v>0.323900548938866</v>
      </c>
      <c r="S52" s="105">
        <f t="shared" si="18"/>
        <v>0.10491156560289873</v>
      </c>
      <c r="T52" s="105"/>
      <c r="V52" s="74">
        <f t="shared" si="25"/>
        <v>2068</v>
      </c>
      <c r="W52" s="71">
        <f t="shared" si="36"/>
        <v>584.85386398747175</v>
      </c>
      <c r="X52" s="66">
        <f t="shared" si="37"/>
        <v>497.29664957849457</v>
      </c>
      <c r="Y52" s="61">
        <f t="shared" si="38"/>
        <v>444.45355145288363</v>
      </c>
      <c r="Z52" s="56">
        <f t="shared" si="39"/>
        <v>337.93725903257734</v>
      </c>
      <c r="AA52" s="15">
        <f t="shared" si="30"/>
        <v>-0.19807346015369198</v>
      </c>
      <c r="AB52" s="69">
        <f t="shared" si="31"/>
        <v>1.0038688107586138</v>
      </c>
      <c r="AC52" s="63">
        <f t="shared" si="32"/>
        <v>0.53592985940705584</v>
      </c>
      <c r="AD52" s="58">
        <f t="shared" si="33"/>
        <v>0.21178174685652681</v>
      </c>
      <c r="AE52" s="53">
        <f t="shared" si="34"/>
        <v>-0.57877271811231545</v>
      </c>
      <c r="AG52" s="110">
        <f t="shared" si="23"/>
        <v>0.44102401705004779</v>
      </c>
      <c r="AH52" s="112">
        <f t="shared" si="35"/>
        <v>0.55241265906008219</v>
      </c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5.75" x14ac:dyDescent="0.25">
      <c r="A53" s="24">
        <f t="shared" si="24"/>
        <v>2009</v>
      </c>
      <c r="B53" s="27">
        <v>387.43</v>
      </c>
      <c r="C53" s="26">
        <f t="shared" si="2"/>
        <v>387.99003425790579</v>
      </c>
      <c r="D53" s="10">
        <f t="shared" si="3"/>
        <v>2.1117097549467871</v>
      </c>
      <c r="F53" s="34">
        <v>8605.9679997301755</v>
      </c>
      <c r="G53" s="14">
        <f t="shared" si="0"/>
        <v>4.0448049598731828</v>
      </c>
      <c r="H53" s="19">
        <f t="shared" si="26"/>
        <v>4.0543979086864965</v>
      </c>
      <c r="J53" s="48">
        <f t="shared" si="13"/>
        <v>55.58794089006156</v>
      </c>
      <c r="K53" s="51">
        <f t="shared" si="14"/>
        <v>51.984686303613977</v>
      </c>
      <c r="L53" s="47">
        <f t="shared" si="15"/>
        <v>48.381431717166393</v>
      </c>
      <c r="M53" s="77"/>
      <c r="N53" s="155">
        <f t="shared" si="27"/>
        <v>387.35423942036152</v>
      </c>
      <c r="O53" s="161">
        <f t="shared" si="16"/>
        <v>-0.37801694430697808</v>
      </c>
      <c r="P53" s="157">
        <f t="shared" si="28"/>
        <v>387.7322563646685</v>
      </c>
      <c r="Q53" s="105">
        <f t="shared" si="17"/>
        <v>387.54324789251501</v>
      </c>
      <c r="R53" s="101">
        <f t="shared" si="29"/>
        <v>-0.11324789251500533</v>
      </c>
      <c r="S53" s="105">
        <f t="shared" si="18"/>
        <v>1.2825085159090201E-2</v>
      </c>
      <c r="T53" s="105"/>
      <c r="V53" s="74">
        <f t="shared" si="25"/>
        <v>2069</v>
      </c>
      <c r="W53" s="71">
        <f t="shared" si="36"/>
        <v>589.65715436204403</v>
      </c>
      <c r="X53" s="66">
        <f t="shared" si="37"/>
        <v>498.36587108170028</v>
      </c>
      <c r="Y53" s="61">
        <f t="shared" si="38"/>
        <v>443.89470877274152</v>
      </c>
      <c r="Z53" s="56">
        <f t="shared" si="39"/>
        <v>336.98516073290301</v>
      </c>
      <c r="AA53" s="15">
        <f t="shared" si="30"/>
        <v>-0.18441222135706717</v>
      </c>
      <c r="AB53" s="69">
        <f t="shared" si="31"/>
        <v>1.0274691745805573</v>
      </c>
      <c r="AC53" s="63">
        <f t="shared" si="32"/>
        <v>0.54212698391962</v>
      </c>
      <c r="AD53" s="58">
        <f t="shared" si="33"/>
        <v>0.20815146037663732</v>
      </c>
      <c r="AE53" s="53">
        <f t="shared" si="34"/>
        <v>-0.58691343690491138</v>
      </c>
      <c r="AG53" s="110">
        <f t="shared" si="23"/>
        <v>0.45243219837659621</v>
      </c>
      <c r="AH53" s="112">
        <f t="shared" si="35"/>
        <v>0.53537610258991841</v>
      </c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5.75" x14ac:dyDescent="0.25">
      <c r="A54" s="24">
        <f t="shared" si="24"/>
        <v>2010</v>
      </c>
      <c r="B54" s="27">
        <v>389.9</v>
      </c>
      <c r="C54" s="26">
        <f t="shared" si="2"/>
        <v>390.11646196103538</v>
      </c>
      <c r="D54" s="10">
        <f t="shared" si="3"/>
        <v>2.1411775800407895</v>
      </c>
      <c r="F54" s="34">
        <v>9047.813838749611</v>
      </c>
      <c r="G54" s="14">
        <f t="shared" si="0"/>
        <v>4.2524725042123173</v>
      </c>
      <c r="H54" s="19">
        <f t="shared" si="26"/>
        <v>4.1221342332496533</v>
      </c>
      <c r="J54" s="48">
        <f t="shared" si="13"/>
        <v>55.587517163822142</v>
      </c>
      <c r="K54" s="51">
        <f t="shared" si="14"/>
        <v>52.053870938569808</v>
      </c>
      <c r="L54" s="47">
        <f t="shared" si="15"/>
        <v>48.520224713317475</v>
      </c>
      <c r="M54" s="77"/>
      <c r="N54" s="155">
        <f t="shared" si="27"/>
        <v>389.52326420415318</v>
      </c>
      <c r="O54" s="161">
        <f t="shared" si="16"/>
        <v>-0.37095120703020257</v>
      </c>
      <c r="P54" s="157">
        <f t="shared" si="28"/>
        <v>389.89421541118338</v>
      </c>
      <c r="Q54" s="105">
        <f t="shared" si="17"/>
        <v>389.70873980766828</v>
      </c>
      <c r="R54" s="101">
        <f t="shared" si="29"/>
        <v>0.191260192331697</v>
      </c>
      <c r="S54" s="105">
        <f t="shared" si="18"/>
        <v>3.6580461170757729E-2</v>
      </c>
      <c r="T54" s="105"/>
      <c r="V54" s="74">
        <f t="shared" si="25"/>
        <v>2070</v>
      </c>
      <c r="W54" s="71">
        <f t="shared" si="36"/>
        <v>594.5262233928936</v>
      </c>
      <c r="X54" s="66">
        <f t="shared" si="37"/>
        <v>499.41510713624791</v>
      </c>
      <c r="Y54" s="61">
        <f t="shared" si="38"/>
        <v>443.31054853482681</v>
      </c>
      <c r="Z54" s="56">
        <f t="shared" si="39"/>
        <v>336.05085866312913</v>
      </c>
      <c r="AA54" s="15">
        <f t="shared" si="30"/>
        <v>-0.1660752538183437</v>
      </c>
      <c r="AB54" s="69">
        <f t="shared" si="31"/>
        <v>1.0511973283917473</v>
      </c>
      <c r="AC54" s="63">
        <f t="shared" si="32"/>
        <v>0.54819536262646174</v>
      </c>
      <c r="AD54" s="58">
        <f t="shared" si="33"/>
        <v>0.20435182013253558</v>
      </c>
      <c r="AE54" s="53">
        <f t="shared" si="34"/>
        <v>-0.59492438306382611</v>
      </c>
      <c r="AG54" s="110">
        <f t="shared" si="23"/>
        <v>0.58083855863930789</v>
      </c>
      <c r="AH54" s="112">
        <f t="shared" si="35"/>
        <v>0.54854745628251944</v>
      </c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5.75" x14ac:dyDescent="0.25">
      <c r="A55" s="24">
        <f t="shared" si="24"/>
        <v>2011</v>
      </c>
      <c r="B55" s="27">
        <v>391.65</v>
      </c>
      <c r="C55" s="26">
        <f t="shared" si="2"/>
        <v>392.27245327553828</v>
      </c>
      <c r="D55" s="10">
        <f t="shared" si="3"/>
        <v>2.1708369779905752</v>
      </c>
      <c r="F55" s="34">
        <v>9353.586149214254</v>
      </c>
      <c r="G55" s="14">
        <f t="shared" si="0"/>
        <v>4.3961854901306996</v>
      </c>
      <c r="H55" s="19">
        <f t="shared" si="26"/>
        <v>4.1903537952939587</v>
      </c>
      <c r="J55" s="48">
        <f t="shared" si="13"/>
        <v>55.593720395680201</v>
      </c>
      <c r="K55" s="51">
        <f t="shared" si="14"/>
        <v>52.127544754049772</v>
      </c>
      <c r="L55" s="47">
        <f t="shared" si="15"/>
        <v>48.661369112419344</v>
      </c>
      <c r="M55" s="77"/>
      <c r="N55" s="155">
        <f t="shared" si="27"/>
        <v>391.85941401296077</v>
      </c>
      <c r="O55" s="161">
        <f t="shared" si="16"/>
        <v>-0.3640175396091081</v>
      </c>
      <c r="P55" s="157">
        <f t="shared" si="28"/>
        <v>392.22343155256988</v>
      </c>
      <c r="Q55" s="105">
        <f t="shared" si="17"/>
        <v>392.04142278276532</v>
      </c>
      <c r="R55" s="101">
        <f t="shared" si="29"/>
        <v>-0.39142278276534626</v>
      </c>
      <c r="S55" s="105">
        <f t="shared" si="18"/>
        <v>0.15321179486776745</v>
      </c>
      <c r="T55" s="105"/>
      <c r="V55" s="74">
        <f t="shared" si="25"/>
        <v>2071</v>
      </c>
      <c r="W55" s="71">
        <f t="shared" si="36"/>
        <v>599.46217496919803</v>
      </c>
      <c r="X55" s="66">
        <f t="shared" si="37"/>
        <v>500.44473130192551</v>
      </c>
      <c r="Y55" s="61">
        <f t="shared" si="38"/>
        <v>442.70208041274856</v>
      </c>
      <c r="Z55" s="56">
        <f t="shared" si="39"/>
        <v>335.13402018344448</v>
      </c>
      <c r="AA55" s="15">
        <f t="shared" si="30"/>
        <v>-0.15315364654561936</v>
      </c>
      <c r="AB55" s="69">
        <f t="shared" si="31"/>
        <v>1.0750538865885251</v>
      </c>
      <c r="AC55" s="63">
        <f t="shared" si="32"/>
        <v>0.55413793235777886</v>
      </c>
      <c r="AD55" s="58">
        <f t="shared" si="33"/>
        <v>0.20038874307659565</v>
      </c>
      <c r="AE55" s="53">
        <f t="shared" si="34"/>
        <v>-0.60280727311297344</v>
      </c>
      <c r="AG55" s="110">
        <f t="shared" si="23"/>
        <v>0.39807237522818267</v>
      </c>
      <c r="AH55" s="112">
        <f t="shared" si="35"/>
        <v>0.55338757100685565</v>
      </c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5.75" x14ac:dyDescent="0.25">
      <c r="A56" s="24">
        <f t="shared" si="24"/>
        <v>2012</v>
      </c>
      <c r="B56" s="27">
        <v>393.85</v>
      </c>
      <c r="C56" s="26">
        <f t="shared" si="2"/>
        <v>394.45819977452629</v>
      </c>
      <c r="D56" s="10">
        <f t="shared" si="3"/>
        <v>2.2006879487963715</v>
      </c>
      <c r="F56" s="34">
        <v>9495.9305891408731</v>
      </c>
      <c r="G56" s="14">
        <f t="shared" si="0"/>
        <v>4.46308737689621</v>
      </c>
      <c r="H56" s="19">
        <f t="shared" si="26"/>
        <v>4.2590565948198673</v>
      </c>
      <c r="J56" s="48">
        <f t="shared" si="13"/>
        <v>55.606268583445853</v>
      </c>
      <c r="K56" s="51">
        <f t="shared" si="14"/>
        <v>52.205517210010825</v>
      </c>
      <c r="L56" s="47">
        <f t="shared" si="15"/>
        <v>48.804765836575797</v>
      </c>
      <c r="M56" s="77"/>
      <c r="N56" s="155">
        <f t="shared" si="27"/>
        <v>394.29561045612024</v>
      </c>
      <c r="O56" s="161">
        <f t="shared" si="16"/>
        <v>-0.35721347344815513</v>
      </c>
      <c r="P56" s="157">
        <f t="shared" si="28"/>
        <v>394.6528239295684</v>
      </c>
      <c r="Q56" s="105">
        <f t="shared" si="17"/>
        <v>394.47421719284432</v>
      </c>
      <c r="R56" s="101">
        <f t="shared" si="29"/>
        <v>-0.62421719284429855</v>
      </c>
      <c r="S56" s="105">
        <f t="shared" si="18"/>
        <v>0.38964710384241619</v>
      </c>
      <c r="T56" s="105"/>
      <c r="V56" s="74">
        <f t="shared" si="25"/>
        <v>2072</v>
      </c>
      <c r="W56" s="71">
        <f t="shared" si="36"/>
        <v>604.46612734764415</v>
      </c>
      <c r="X56" s="66">
        <f t="shared" si="37"/>
        <v>501.45511015609515</v>
      </c>
      <c r="Y56" s="61">
        <f t="shared" si="38"/>
        <v>442.07028716098847</v>
      </c>
      <c r="Z56" s="56">
        <f t="shared" si="39"/>
        <v>334.23431887160439</v>
      </c>
      <c r="AA56" s="15">
        <f t="shared" si="30"/>
        <v>-0.1369910118464179</v>
      </c>
      <c r="AB56" s="69">
        <f t="shared" si="31"/>
        <v>1.0990394307072873</v>
      </c>
      <c r="AC56" s="63">
        <f t="shared" si="32"/>
        <v>0.55995755222859167</v>
      </c>
      <c r="AD56" s="58">
        <f t="shared" si="33"/>
        <v>0.19626797629178402</v>
      </c>
      <c r="AE56" s="53">
        <f t="shared" si="34"/>
        <v>-0.61056381208741273</v>
      </c>
      <c r="AG56" s="110">
        <f t="shared" si="23"/>
        <v>0.49293231662652409</v>
      </c>
      <c r="AH56" s="112">
        <f t="shared" si="35"/>
        <v>0.5498936715506384</v>
      </c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5.75" x14ac:dyDescent="0.25">
      <c r="A57" s="24">
        <f t="shared" si="24"/>
        <v>2013</v>
      </c>
      <c r="B57" s="27">
        <v>396.52</v>
      </c>
      <c r="C57" s="26">
        <f t="shared" si="2"/>
        <v>396.67389303082018</v>
      </c>
      <c r="D57" s="10">
        <f t="shared" si="3"/>
        <v>2.2307304924579512</v>
      </c>
      <c r="F57" s="34">
        <v>9541.3283960298704</v>
      </c>
      <c r="G57" s="14">
        <f t="shared" si="0"/>
        <v>4.4844243461340394</v>
      </c>
      <c r="H57" s="19">
        <f t="shared" si="26"/>
        <v>4.3282426318266971</v>
      </c>
      <c r="J57" s="48">
        <f t="shared" si="13"/>
        <v>55.624895246581801</v>
      </c>
      <c r="K57" s="51">
        <f t="shared" si="14"/>
        <v>52.287608244225439</v>
      </c>
      <c r="L57" s="47">
        <f t="shared" si="15"/>
        <v>48.950321241869077</v>
      </c>
      <c r="M57" s="77"/>
      <c r="N57" s="155">
        <f t="shared" si="27"/>
        <v>396.75317240393014</v>
      </c>
      <c r="O57" s="161">
        <f t="shared" si="16"/>
        <v>-0.35053658609399463</v>
      </c>
      <c r="P57" s="157">
        <f t="shared" si="28"/>
        <v>397.10370899002413</v>
      </c>
      <c r="Q57" s="105">
        <f t="shared" si="17"/>
        <v>396.92844069697713</v>
      </c>
      <c r="R57" s="101">
        <f t="shared" si="29"/>
        <v>-0.40844069697715213</v>
      </c>
      <c r="S57" s="105">
        <f t="shared" si="18"/>
        <v>0.1668238029471818</v>
      </c>
      <c r="T57" s="105"/>
      <c r="V57" s="74">
        <f t="shared" si="25"/>
        <v>2073</v>
      </c>
      <c r="W57" s="71">
        <f t="shared" si="36"/>
        <v>609.53921340889008</v>
      </c>
      <c r="X57" s="66">
        <f t="shared" si="37"/>
        <v>502.44660342420553</v>
      </c>
      <c r="Y57" s="61">
        <f t="shared" si="38"/>
        <v>441.41612523876307</v>
      </c>
      <c r="Z57" s="56">
        <f t="shared" si="39"/>
        <v>333.35143440671459</v>
      </c>
      <c r="AA57" s="15">
        <f t="shared" si="30"/>
        <v>-0.11749629209611819</v>
      </c>
      <c r="AB57" s="69">
        <f t="shared" si="31"/>
        <v>1.1231545098067885</v>
      </c>
      <c r="AC57" s="63">
        <f t="shared" si="32"/>
        <v>0.56565700613616554</v>
      </c>
      <c r="AD57" s="58">
        <f t="shared" si="33"/>
        <v>0.191995103181997</v>
      </c>
      <c r="AE57" s="53">
        <f t="shared" si="34"/>
        <v>-0.61819569323834023</v>
      </c>
      <c r="AG57" s="110">
        <f t="shared" si="23"/>
        <v>0.59539414513743094</v>
      </c>
      <c r="AH57" s="112">
        <f t="shared" si="35"/>
        <v>0.54180580366783238</v>
      </c>
      <c r="AI57" s="2"/>
      <c r="AJ57" s="2"/>
      <c r="AK57" s="2"/>
      <c r="AL57" s="2"/>
      <c r="AM57" s="2"/>
      <c r="AN57" s="2"/>
      <c r="AO57" s="2"/>
      <c r="AP57" s="2"/>
      <c r="AQ57" s="2"/>
    </row>
    <row r="58" spans="1:43" ht="15.75" x14ac:dyDescent="0.25">
      <c r="A58" s="24">
        <f t="shared" si="24"/>
        <v>2014</v>
      </c>
      <c r="B58" s="27">
        <v>398.65</v>
      </c>
      <c r="C58" s="26">
        <f t="shared" si="2"/>
        <v>398.91972461700789</v>
      </c>
      <c r="D58" s="10">
        <f t="shared" si="3"/>
        <v>2.2609646089752005</v>
      </c>
      <c r="F58" s="34">
        <v>9613.7657818165535</v>
      </c>
      <c r="G58" s="14">
        <f t="shared" si="0"/>
        <v>4.5184699174537801</v>
      </c>
      <c r="H58" s="19">
        <f t="shared" si="26"/>
        <v>4.3979119063149028</v>
      </c>
      <c r="J58" s="48">
        <f t="shared" si="13"/>
        <v>55.649348378900932</v>
      </c>
      <c r="K58" s="51">
        <f t="shared" si="14"/>
        <v>52.373647565542385</v>
      </c>
      <c r="L58" s="47">
        <f t="shared" si="15"/>
        <v>49.097946752183844</v>
      </c>
      <c r="M58" s="77"/>
      <c r="N58" s="155">
        <f t="shared" si="27"/>
        <v>399.18613558363558</v>
      </c>
      <c r="O58" s="161">
        <f t="shared" si="16"/>
        <v>-0.34398450037258499</v>
      </c>
      <c r="P58" s="157">
        <f t="shared" si="28"/>
        <v>399.53012008400816</v>
      </c>
      <c r="Q58" s="105">
        <f t="shared" si="17"/>
        <v>399.35812783382187</v>
      </c>
      <c r="R58" s="101">
        <f t="shared" si="29"/>
        <v>-0.70812783382189082</v>
      </c>
      <c r="S58" s="105">
        <f t="shared" si="18"/>
        <v>0.50144502903328336</v>
      </c>
      <c r="T58" s="105"/>
      <c r="V58" s="74">
        <f t="shared" si="25"/>
        <v>2074</v>
      </c>
      <c r="W58" s="71">
        <f t="shared" si="36"/>
        <v>614.68258091711016</v>
      </c>
      <c r="X58" s="66">
        <f t="shared" si="37"/>
        <v>503.41956410786526</v>
      </c>
      <c r="Y58" s="61">
        <f t="shared" si="38"/>
        <v>440.74052542041426</v>
      </c>
      <c r="Z58" s="56">
        <f t="shared" si="39"/>
        <v>332.4850524551872</v>
      </c>
      <c r="AA58" s="15">
        <f t="shared" si="30"/>
        <v>-0.10203822508218373</v>
      </c>
      <c r="AB58" s="69">
        <f t="shared" si="31"/>
        <v>1.1473996408496419</v>
      </c>
      <c r="AC58" s="63">
        <f t="shared" si="32"/>
        <v>0.57123900515904924</v>
      </c>
      <c r="AD58" s="58">
        <f t="shared" si="33"/>
        <v>0.18757554936516196</v>
      </c>
      <c r="AE58" s="53">
        <f t="shared" si="34"/>
        <v>-0.62570459775208032</v>
      </c>
      <c r="AG58" s="110">
        <f t="shared" si="23"/>
        <v>0.47139851297278962</v>
      </c>
      <c r="AH58" s="112">
        <f t="shared" si="35"/>
        <v>0.53520728023105302</v>
      </c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15.75" x14ac:dyDescent="0.25">
      <c r="A59" s="24">
        <f t="shared" si="24"/>
        <v>2015</v>
      </c>
      <c r="B59" s="27">
        <v>400.83</v>
      </c>
      <c r="C59" s="26">
        <f t="shared" si="2"/>
        <v>401.19588610637584</v>
      </c>
      <c r="D59" s="10">
        <f t="shared" si="3"/>
        <v>2.2913902983485741</v>
      </c>
      <c r="F59" s="33">
        <v>9617.5330071469016</v>
      </c>
      <c r="G59" s="14">
        <f t="shared" si="0"/>
        <v>4.5202405133590435</v>
      </c>
      <c r="H59" s="19">
        <f t="shared" si="26"/>
        <v>4.468064418284257</v>
      </c>
      <c r="J59" s="48">
        <f t="shared" si="13"/>
        <v>55.679389485256053</v>
      </c>
      <c r="K59" s="51">
        <f t="shared" si="14"/>
        <v>52.463474003977282</v>
      </c>
      <c r="L59" s="47">
        <f t="shared" si="15"/>
        <v>49.247558522698519</v>
      </c>
      <c r="M59" s="77"/>
      <c r="N59" s="155">
        <f t="shared" si="27"/>
        <v>401.60766838737652</v>
      </c>
      <c r="O59" s="161">
        <f t="shared" si="16"/>
        <v>-0.33755488354324825</v>
      </c>
      <c r="P59" s="157">
        <f t="shared" si="28"/>
        <v>401.94522327091977</v>
      </c>
      <c r="Q59" s="105">
        <f t="shared" si="17"/>
        <v>401.77644582914814</v>
      </c>
      <c r="R59" s="101">
        <f t="shared" si="29"/>
        <v>-0.94644582914816056</v>
      </c>
      <c r="S59" s="105">
        <f t="shared" si="18"/>
        <v>0.89575970751194911</v>
      </c>
      <c r="T59" s="105"/>
      <c r="V59" s="74">
        <f t="shared" si="25"/>
        <v>2075</v>
      </c>
      <c r="W59" s="71">
        <f t="shared" si="36"/>
        <v>619.89739278268087</v>
      </c>
      <c r="X59" s="66">
        <f t="shared" si="37"/>
        <v>504.37433861052199</v>
      </c>
      <c r="Y59" s="61">
        <f t="shared" si="38"/>
        <v>440.04439339260733</v>
      </c>
      <c r="Z59" s="56">
        <f t="shared" si="39"/>
        <v>331.63486455882855</v>
      </c>
      <c r="AA59" s="15">
        <f t="shared" si="30"/>
        <v>-8.6302581994081085E-2</v>
      </c>
      <c r="AB59" s="69">
        <f t="shared" si="31"/>
        <v>1.1717753090832488</v>
      </c>
      <c r="AC59" s="63">
        <f t="shared" si="32"/>
        <v>0.57670618986236599</v>
      </c>
      <c r="AD59" s="58">
        <f t="shared" si="33"/>
        <v>0.18301458828607756</v>
      </c>
      <c r="AE59" s="53">
        <f t="shared" si="34"/>
        <v>-0.63309219448287912</v>
      </c>
      <c r="AG59" s="110">
        <f t="shared" si="23"/>
        <v>0.48227522264739481</v>
      </c>
      <c r="AH59" s="112">
        <f t="shared" si="35"/>
        <v>0.52538938551891545</v>
      </c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15.75" x14ac:dyDescent="0.25">
      <c r="A60" s="24">
        <f t="shared" si="24"/>
        <v>2016</v>
      </c>
      <c r="B60" s="27">
        <v>404.24</v>
      </c>
      <c r="C60" s="26">
        <f t="shared" si="2"/>
        <v>403.50256907139556</v>
      </c>
      <c r="D60" s="10">
        <f t="shared" si="3"/>
        <v>2.3220075605776742</v>
      </c>
      <c r="F60" s="33">
        <v>9656.0272425605635</v>
      </c>
      <c r="G60" s="14">
        <f t="shared" si="0"/>
        <v>4.5383328040034643</v>
      </c>
      <c r="H60" s="19">
        <f t="shared" si="26"/>
        <v>4.5387001677351009</v>
      </c>
      <c r="J60" s="48">
        <f t="shared" si="13"/>
        <v>55.714792692780684</v>
      </c>
      <c r="K60" s="51">
        <f t="shared" si="14"/>
        <v>52.556934910696754</v>
      </c>
      <c r="L60" s="47">
        <f t="shared" si="15"/>
        <v>49.399077128612817</v>
      </c>
      <c r="M60" s="77"/>
      <c r="N60" s="155">
        <f t="shared" si="27"/>
        <v>403.98570949162576</v>
      </c>
      <c r="O60" s="161">
        <f t="shared" si="16"/>
        <v>-0.33124544646761933</v>
      </c>
      <c r="P60" s="157">
        <f t="shared" si="28"/>
        <v>404.31695493809337</v>
      </c>
      <c r="Q60" s="105">
        <f t="shared" si="17"/>
        <v>404.15133221485956</v>
      </c>
      <c r="R60" s="101">
        <f t="shared" si="29"/>
        <v>8.8667785140444266E-2</v>
      </c>
      <c r="S60" s="105">
        <f t="shared" si="18"/>
        <v>7.8619761217119891E-3</v>
      </c>
      <c r="T60" s="105"/>
      <c r="V60" s="74">
        <f t="shared" si="25"/>
        <v>2076</v>
      </c>
      <c r="W60" s="71">
        <f t="shared" si="36"/>
        <v>625.18482732807036</v>
      </c>
      <c r="X60" s="66">
        <f t="shared" si="37"/>
        <v>505.31126686079261</v>
      </c>
      <c r="Y60" s="61">
        <f t="shared" si="38"/>
        <v>439.32861033861008</v>
      </c>
      <c r="Z60" s="56">
        <f t="shared" si="39"/>
        <v>330.80056802501866</v>
      </c>
      <c r="AA60" s="15">
        <f t="shared" si="30"/>
        <v>-6.1859393152434695E-2</v>
      </c>
      <c r="AB60" s="69">
        <f t="shared" si="31"/>
        <v>1.1962819684203663</v>
      </c>
      <c r="AC60" s="63">
        <f t="shared" si="32"/>
        <v>0.58206113251374758</v>
      </c>
      <c r="AD60" s="58">
        <f t="shared" si="33"/>
        <v>0.17831734656483383</v>
      </c>
      <c r="AE60" s="53">
        <f t="shared" si="34"/>
        <v>-0.64036013969927696</v>
      </c>
      <c r="AG60" s="110">
        <f t="shared" si="23"/>
        <v>0.75137724518393911</v>
      </c>
      <c r="AH60" s="112">
        <f t="shared" si="35"/>
        <v>0.51750023148393121</v>
      </c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15.75" x14ac:dyDescent="0.25">
      <c r="A61" s="24">
        <f t="shared" si="24"/>
        <v>2017</v>
      </c>
      <c r="B61" s="27">
        <v>406.55</v>
      </c>
      <c r="C61" s="26">
        <f t="shared" si="2"/>
        <v>405.83996508523705</v>
      </c>
      <c r="D61" s="10">
        <f t="shared" si="3"/>
        <v>2.3528163956626713</v>
      </c>
      <c r="F61" s="34">
        <v>9773.6074264315466</v>
      </c>
      <c r="G61" s="14">
        <f t="shared" si="0"/>
        <v>4.5935954904228264</v>
      </c>
      <c r="H61" s="19">
        <f t="shared" si="26"/>
        <v>4.6098191546669796</v>
      </c>
      <c r="J61" s="48">
        <f t="shared" si="13"/>
        <v>55.755343932655265</v>
      </c>
      <c r="K61" s="51">
        <f t="shared" si="14"/>
        <v>52.653885606087648</v>
      </c>
      <c r="L61" s="47">
        <f t="shared" si="15"/>
        <v>49.552427279520032</v>
      </c>
      <c r="M61" s="77"/>
      <c r="N61" s="155">
        <f t="shared" si="27"/>
        <v>406.33739352008479</v>
      </c>
      <c r="O61" s="161">
        <f t="shared" si="16"/>
        <v>-0.32505394279530719</v>
      </c>
      <c r="P61" s="157">
        <f t="shared" si="28"/>
        <v>406.6624474628801</v>
      </c>
      <c r="Q61" s="105">
        <f t="shared" si="17"/>
        <v>406.49992049148244</v>
      </c>
      <c r="R61" s="101">
        <f t="shared" si="29"/>
        <v>5.0079508517569593E-2</v>
      </c>
      <c r="S61" s="105">
        <f t="shared" si="18"/>
        <v>2.5079571733613256E-3</v>
      </c>
      <c r="T61" s="105"/>
      <c r="V61" s="74">
        <f t="shared" si="25"/>
        <v>2077</v>
      </c>
      <c r="W61" s="71">
        <f t="shared" si="36"/>
        <v>630.54607855699317</v>
      </c>
      <c r="X61" s="66">
        <f t="shared" si="37"/>
        <v>506.23068243348808</v>
      </c>
      <c r="Y61" s="61">
        <f t="shared" si="38"/>
        <v>438.59403350992011</v>
      </c>
      <c r="Z61" s="56">
        <f t="shared" si="39"/>
        <v>329.98186581894356</v>
      </c>
      <c r="AA61" s="15">
        <f t="shared" si="30"/>
        <v>-4.541797398489128E-2</v>
      </c>
      <c r="AB61" s="69">
        <f t="shared" si="31"/>
        <v>1.2209200418195083</v>
      </c>
      <c r="AC61" s="63">
        <f t="shared" si="32"/>
        <v>0.58730633921405428</v>
      </c>
      <c r="AD61" s="58">
        <f t="shared" si="33"/>
        <v>0.17348880909563918</v>
      </c>
      <c r="AE61" s="53">
        <f t="shared" si="34"/>
        <v>-0.6475100768438502</v>
      </c>
      <c r="AG61" s="110">
        <f t="shared" si="23"/>
        <v>0.5028740568942377</v>
      </c>
      <c r="AH61" s="112">
        <f t="shared" si="35"/>
        <v>0.51374835282525733</v>
      </c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5.75" x14ac:dyDescent="0.25">
      <c r="A62" s="24">
        <f t="shared" si="24"/>
        <v>2018</v>
      </c>
      <c r="B62" s="27">
        <v>408.52</v>
      </c>
      <c r="C62" s="26">
        <f t="shared" si="2"/>
        <v>408.20826572037186</v>
      </c>
      <c r="D62" s="10">
        <f t="shared" si="3"/>
        <v>2.3838168036033949</v>
      </c>
      <c r="F62" s="32">
        <v>9981.6468941534822</v>
      </c>
      <c r="G62" s="14">
        <f t="shared" si="0"/>
        <v>4.6913740402521364</v>
      </c>
      <c r="H62" s="19">
        <f t="shared" si="26"/>
        <v>4.6814213790801205</v>
      </c>
      <c r="J62" s="48">
        <f t="shared" si="13"/>
        <v>55.800840183202617</v>
      </c>
      <c r="K62" s="51">
        <f t="shared" si="14"/>
        <v>52.754188868736293</v>
      </c>
      <c r="L62" s="47">
        <f t="shared" si="15"/>
        <v>49.707537554269976</v>
      </c>
      <c r="M62" s="77"/>
      <c r="N62" s="155">
        <f t="shared" si="27"/>
        <v>408.70038352415088</v>
      </c>
      <c r="O62" s="161">
        <f t="shared" si="16"/>
        <v>-0.31897816816365321</v>
      </c>
      <c r="P62" s="157">
        <f t="shared" si="28"/>
        <v>409.01936169231453</v>
      </c>
      <c r="Q62" s="105">
        <f t="shared" si="17"/>
        <v>408.85987260823271</v>
      </c>
      <c r="R62" s="101">
        <f t="shared" si="29"/>
        <v>-0.33987260823272436</v>
      </c>
      <c r="S62" s="105">
        <f t="shared" si="18"/>
        <v>0.11551338982691493</v>
      </c>
      <c r="T62" s="105"/>
      <c r="V62" s="74">
        <f t="shared" si="25"/>
        <v>2078</v>
      </c>
      <c r="W62" s="71">
        <f t="shared" si="36"/>
        <v>635.98235642689178</v>
      </c>
      <c r="X62" s="66">
        <f t="shared" si="37"/>
        <v>507.13291266837615</v>
      </c>
      <c r="Y62" s="61">
        <f t="shared" si="38"/>
        <v>437.84149678550364</v>
      </c>
      <c r="Z62" s="56">
        <f t="shared" si="39"/>
        <v>329.17846645784181</v>
      </c>
      <c r="AA62" s="15">
        <f t="shared" si="30"/>
        <v>-3.1470142437350253E-2</v>
      </c>
      <c r="AB62" s="69">
        <f t="shared" si="31"/>
        <v>1.2456899216653452</v>
      </c>
      <c r="AC62" s="63">
        <f t="shared" si="32"/>
        <v>0.59244425194681316</v>
      </c>
      <c r="AD62" s="58">
        <f t="shared" si="33"/>
        <v>0.16853382390993793</v>
      </c>
      <c r="AE62" s="53">
        <f t="shared" si="34"/>
        <v>-0.65454363630608736</v>
      </c>
      <c r="AG62" s="110">
        <f t="shared" si="23"/>
        <v>0.41991961909182868</v>
      </c>
      <c r="AH62" s="112">
        <f t="shared" si="35"/>
        <v>0.51448027621586778</v>
      </c>
      <c r="AI62" s="2"/>
      <c r="AJ62" s="2"/>
      <c r="AK62" s="2"/>
      <c r="AL62" s="2"/>
      <c r="AM62" s="2"/>
      <c r="AN62" s="2"/>
      <c r="AO62" s="2"/>
      <c r="AP62" s="2"/>
      <c r="AQ62" s="2"/>
    </row>
    <row r="63" spans="1:43" ht="15.75" x14ac:dyDescent="0.25">
      <c r="A63" s="24">
        <f t="shared" si="24"/>
        <v>2019</v>
      </c>
      <c r="B63" s="12">
        <v>411.43</v>
      </c>
      <c r="C63" s="26">
        <f t="shared" si="2"/>
        <v>410.60766255002818</v>
      </c>
      <c r="D63" s="10">
        <f t="shared" si="3"/>
        <v>2.4150087844000723</v>
      </c>
      <c r="E63" s="21"/>
      <c r="F63" s="31">
        <f>1.06*F62</f>
        <v>10580.545707802692</v>
      </c>
      <c r="G63" s="14">
        <f t="shared" si="0"/>
        <v>4.9728564826672654</v>
      </c>
      <c r="H63" s="19">
        <f t="shared" si="26"/>
        <v>4.7535068409744099</v>
      </c>
      <c r="J63" s="48">
        <f t="shared" si="13"/>
        <v>55.851088771634537</v>
      </c>
      <c r="K63" s="51">
        <f>(C63-287)/(H63-D63)</f>
        <v>52.857714464428874</v>
      </c>
      <c r="L63" s="47">
        <f t="shared" si="15"/>
        <v>49.864340157223211</v>
      </c>
      <c r="M63" s="77"/>
      <c r="N63" s="155">
        <f t="shared" si="27"/>
        <v>411.11698404058711</v>
      </c>
      <c r="O63" s="161">
        <f t="shared" si="16"/>
        <v>-0.31301595941289406</v>
      </c>
      <c r="P63" s="158">
        <v>411.43</v>
      </c>
      <c r="Q63" s="105">
        <f t="shared" si="17"/>
        <v>411.27349202029359</v>
      </c>
      <c r="R63" s="101">
        <f t="shared" si="29"/>
        <v>0.15650797970641861</v>
      </c>
      <c r="S63" s="105">
        <f t="shared" si="18"/>
        <v>2.449474771178474E-2</v>
      </c>
      <c r="T63" s="105"/>
      <c r="V63" s="74">
        <f t="shared" si="25"/>
        <v>2079</v>
      </c>
      <c r="W63" s="71">
        <f t="shared" si="36"/>
        <v>641.49488712481002</v>
      </c>
      <c r="X63" s="66">
        <f t="shared" si="37"/>
        <v>508.01827878672418</v>
      </c>
      <c r="Y63" s="61">
        <f t="shared" si="38"/>
        <v>437.07181121890238</v>
      </c>
      <c r="Z63" s="56">
        <f t="shared" si="39"/>
        <v>328.39008390722796</v>
      </c>
      <c r="AA63" s="15">
        <f t="shared" si="30"/>
        <v>-1.0989575596581301E-2</v>
      </c>
      <c r="AB63" s="69">
        <f t="shared" si="31"/>
        <v>1.2705919701492763</v>
      </c>
      <c r="AC63" s="63">
        <f t="shared" si="32"/>
        <v>0.59747725055007894</v>
      </c>
      <c r="AD63" s="58">
        <f t="shared" si="33"/>
        <v>0.16345710681680381</v>
      </c>
      <c r="AE63" s="53">
        <f t="shared" si="34"/>
        <v>-0.66146243520816439</v>
      </c>
      <c r="AG63" s="110">
        <f t="shared" si="23"/>
        <v>0.58517675105701084</v>
      </c>
      <c r="AH63" s="112">
        <f t="shared" si="35"/>
        <v>0.53289039854228637</v>
      </c>
      <c r="AI63" s="2"/>
      <c r="AJ63" s="2"/>
      <c r="AK63" s="2"/>
      <c r="AL63" s="2"/>
      <c r="AM63" s="2"/>
      <c r="AN63" s="2"/>
      <c r="AO63" s="2"/>
      <c r="AP63" s="2"/>
      <c r="AQ63" s="2"/>
    </row>
    <row r="64" spans="1:43" ht="15.75" x14ac:dyDescent="0.25">
      <c r="A64" s="24">
        <f t="shared" si="24"/>
        <v>2020</v>
      </c>
      <c r="B64" s="36">
        <v>413</v>
      </c>
      <c r="C64" s="26">
        <f t="shared" si="2"/>
        <v>413.03834714691038</v>
      </c>
      <c r="D64" s="10">
        <f t="shared" si="3"/>
        <v>2.4463923380526467</v>
      </c>
      <c r="E64" s="21"/>
      <c r="F64" s="35"/>
      <c r="G64" s="14"/>
      <c r="H64" s="19">
        <f t="shared" si="26"/>
        <v>4.8260755403503026</v>
      </c>
      <c r="J64" s="48"/>
      <c r="K64" s="51"/>
      <c r="L64" s="49"/>
      <c r="M64" s="78"/>
      <c r="N64" s="155"/>
      <c r="O64" s="162"/>
      <c r="P64" s="158"/>
      <c r="Q64" s="106"/>
      <c r="R64" s="102"/>
      <c r="S64" s="106"/>
      <c r="T64" s="106"/>
      <c r="V64" s="74">
        <f t="shared" si="25"/>
        <v>2080</v>
      </c>
      <c r="W64" s="71">
        <f t="shared" si="36"/>
        <v>647.0849133467201</v>
      </c>
      <c r="X64" s="66">
        <f t="shared" si="37"/>
        <v>508.88709600566392</v>
      </c>
      <c r="Y64" s="61">
        <f t="shared" si="38"/>
        <v>436.28576557346031</v>
      </c>
      <c r="Z64" s="56">
        <f t="shared" si="39"/>
        <v>327.61643747905549</v>
      </c>
      <c r="AA64" s="15">
        <f t="shared" si="30"/>
        <v>0</v>
      </c>
      <c r="AB64" s="69">
        <f t="shared" si="31"/>
        <v>1.2956265196503101</v>
      </c>
      <c r="AC64" s="63">
        <f t="shared" si="32"/>
        <v>0.60240765461424761</v>
      </c>
      <c r="AD64" s="58">
        <f t="shared" si="33"/>
        <v>0.1582632458327983</v>
      </c>
      <c r="AE64" s="53">
        <f t="shared" si="34"/>
        <v>-0.6682680772033881</v>
      </c>
      <c r="AG64" s="110"/>
      <c r="AH64" s="113"/>
      <c r="AI64" s="2"/>
      <c r="AJ64" s="2"/>
      <c r="AK64" s="2"/>
      <c r="AL64" s="2"/>
      <c r="AM64" s="2"/>
      <c r="AN64" s="2"/>
      <c r="AO64" s="2"/>
      <c r="AP64" s="2"/>
      <c r="AQ64" s="2"/>
    </row>
    <row r="65" spans="1:42" s="94" customFormat="1" ht="15.75" x14ac:dyDescent="0.25">
      <c r="A65" s="88"/>
      <c r="B65" s="84"/>
      <c r="C65" s="89"/>
      <c r="D65" s="87"/>
      <c r="E65" s="84"/>
      <c r="F65" s="88"/>
      <c r="G65" s="90"/>
      <c r="H65" s="90"/>
      <c r="I65" s="85"/>
      <c r="J65" s="91">
        <f>SUM(J4:J63)/60</f>
        <v>61.218542783027928</v>
      </c>
      <c r="K65" s="86">
        <f>SUM(K4:K63)/60</f>
        <v>54.4368135169886</v>
      </c>
      <c r="L65" s="92">
        <f>SUM(L4:L63)/60</f>
        <v>47.655084250949244</v>
      </c>
      <c r="M65" s="93"/>
      <c r="N65" s="87"/>
      <c r="O65" s="87"/>
      <c r="P65" s="165"/>
      <c r="Q65" s="165"/>
      <c r="S65" s="166"/>
      <c r="T65" s="165"/>
      <c r="V65" s="88"/>
      <c r="AA65" s="90"/>
    </row>
    <row r="66" spans="1:42" s="94" customFormat="1" ht="15.75" x14ac:dyDescent="0.25">
      <c r="A66" s="88"/>
      <c r="B66" s="185" t="s">
        <v>27</v>
      </c>
      <c r="C66" s="185"/>
      <c r="D66" s="185"/>
      <c r="E66" s="84"/>
      <c r="F66" s="177" t="s">
        <v>28</v>
      </c>
      <c r="G66" s="177"/>
      <c r="H66" s="177"/>
      <c r="I66" s="87"/>
      <c r="J66" s="189" t="s">
        <v>26</v>
      </c>
      <c r="K66" s="189"/>
      <c r="L66" s="189"/>
      <c r="M66" s="93"/>
      <c r="N66" s="142"/>
      <c r="O66" s="143"/>
      <c r="P66" s="143"/>
      <c r="Q66" s="143"/>
      <c r="R66" s="144" t="s">
        <v>36</v>
      </c>
      <c r="S66" s="145">
        <f>SUM(S4:S63)/60</f>
        <v>0.35881886929342494</v>
      </c>
      <c r="T66" s="142"/>
      <c r="V66" s="88"/>
      <c r="AA66" s="90"/>
    </row>
    <row r="67" spans="1:42" s="94" customFormat="1" ht="15.75" x14ac:dyDescent="0.25">
      <c r="A67" s="88"/>
      <c r="B67" s="185"/>
      <c r="C67" s="185"/>
      <c r="D67" s="185"/>
      <c r="E67" s="84"/>
      <c r="F67" s="177"/>
      <c r="G67" s="177"/>
      <c r="H67" s="177"/>
      <c r="I67" s="87"/>
      <c r="J67" s="193" t="s">
        <v>46</v>
      </c>
      <c r="K67" s="193"/>
      <c r="L67" s="193"/>
      <c r="M67" s="93"/>
      <c r="N67" s="142"/>
      <c r="O67" s="146"/>
      <c r="P67" s="143"/>
      <c r="Q67" s="143"/>
      <c r="R67" s="143"/>
      <c r="S67" s="145"/>
      <c r="T67" s="143"/>
      <c r="V67" s="88"/>
      <c r="AA67" s="90"/>
    </row>
    <row r="68" spans="1:42" ht="54" customHeight="1" x14ac:dyDescent="0.35">
      <c r="B68" s="185"/>
      <c r="C68" s="185"/>
      <c r="D68" s="185"/>
      <c r="F68" s="177"/>
      <c r="G68" s="177"/>
      <c r="H68" s="177"/>
      <c r="J68" s="193"/>
      <c r="K68" s="193"/>
      <c r="L68" s="193"/>
      <c r="N68" s="153"/>
      <c r="O68" s="152"/>
      <c r="P68" s="106"/>
      <c r="Q68" s="106"/>
      <c r="R68" s="164" t="s">
        <v>37</v>
      </c>
      <c r="S68" s="163">
        <f>SQRT(60*S66/59)</f>
        <v>0.60406998356495156</v>
      </c>
      <c r="T68" s="106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s="2" customFormat="1" ht="54" customHeight="1" x14ac:dyDescent="0.35">
      <c r="A69" s="147"/>
      <c r="B69" s="148"/>
      <c r="C69" s="148"/>
      <c r="D69" s="148"/>
      <c r="E69" s="8"/>
      <c r="F69" s="149"/>
      <c r="G69" s="149"/>
      <c r="H69" s="149"/>
      <c r="I69" s="3"/>
      <c r="J69" s="150"/>
      <c r="K69" s="150"/>
      <c r="L69" s="150"/>
      <c r="M69" s="44"/>
      <c r="N69" s="39"/>
      <c r="O69" s="151"/>
      <c r="S69" s="151"/>
      <c r="V69" s="44"/>
      <c r="W69" s="180" t="s">
        <v>49</v>
      </c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</row>
    <row r="70" spans="1:42" ht="24.95" customHeight="1" x14ac:dyDescent="0.35">
      <c r="A70" s="83"/>
      <c r="S70" s="42"/>
      <c r="T70" s="42"/>
      <c r="W70" s="167"/>
      <c r="X70" s="192" t="s">
        <v>34</v>
      </c>
      <c r="Y70" s="192"/>
      <c r="Z70" s="192"/>
      <c r="AA70" s="192"/>
      <c r="AB70" s="168"/>
      <c r="AC70" s="169" t="s">
        <v>4</v>
      </c>
      <c r="AD70" s="170">
        <v>287</v>
      </c>
      <c r="AE70" s="171" t="s">
        <v>17</v>
      </c>
      <c r="AF70" s="171"/>
      <c r="AG70" s="171"/>
      <c r="AH70" s="171"/>
      <c r="AI70" s="2"/>
      <c r="AJ70" s="2"/>
      <c r="AK70" s="2"/>
      <c r="AL70" s="2"/>
      <c r="AM70" s="2"/>
      <c r="AN70" s="2"/>
      <c r="AO70" s="2"/>
      <c r="AP70" s="2"/>
    </row>
    <row r="71" spans="1:42" ht="9.9499999999999993" customHeight="1" x14ac:dyDescent="0.35">
      <c r="S71" s="42"/>
      <c r="T71" s="42"/>
      <c r="W71" s="167"/>
      <c r="X71" s="192"/>
      <c r="Y71" s="192"/>
      <c r="Z71" s="192"/>
      <c r="AA71" s="192"/>
      <c r="AB71" s="168"/>
      <c r="AC71" s="169"/>
      <c r="AD71" s="172"/>
      <c r="AE71" s="171"/>
      <c r="AF71" s="171"/>
      <c r="AG71" s="171"/>
      <c r="AH71" s="171"/>
      <c r="AI71" s="2"/>
      <c r="AJ71" s="2"/>
      <c r="AK71" s="2"/>
      <c r="AL71" s="2"/>
      <c r="AM71" s="2"/>
      <c r="AN71" s="2"/>
      <c r="AO71" s="2"/>
      <c r="AP71" s="2"/>
    </row>
    <row r="72" spans="1:42" ht="24.95" customHeight="1" x14ac:dyDescent="0.35">
      <c r="S72" s="42"/>
      <c r="T72" s="42"/>
      <c r="W72" s="167"/>
      <c r="X72" s="192"/>
      <c r="Y72" s="192"/>
      <c r="Z72" s="192"/>
      <c r="AA72" s="192"/>
      <c r="AB72" s="168"/>
      <c r="AC72" s="169" t="s">
        <v>5</v>
      </c>
      <c r="AD72" s="170">
        <v>53.5</v>
      </c>
      <c r="AE72" s="171" t="s">
        <v>18</v>
      </c>
      <c r="AF72" s="171"/>
      <c r="AG72" s="171"/>
      <c r="AH72" s="171"/>
      <c r="AI72" s="2"/>
      <c r="AJ72" s="2"/>
      <c r="AK72" s="2"/>
      <c r="AL72" s="2"/>
      <c r="AM72" s="2"/>
      <c r="AN72" s="2"/>
      <c r="AO72" s="2"/>
      <c r="AP72" s="2"/>
    </row>
    <row r="73" spans="1:42" ht="9.9499999999999993" customHeight="1" x14ac:dyDescent="0.35">
      <c r="S73" s="42"/>
      <c r="T73" s="42"/>
      <c r="W73" s="167"/>
      <c r="X73" s="192"/>
      <c r="Y73" s="192"/>
      <c r="Z73" s="192"/>
      <c r="AA73" s="192"/>
      <c r="AB73" s="168"/>
      <c r="AC73" s="168"/>
      <c r="AD73" s="173"/>
      <c r="AE73" s="171"/>
      <c r="AF73" s="171"/>
      <c r="AG73" s="171"/>
      <c r="AH73" s="171"/>
      <c r="AI73" s="2"/>
      <c r="AJ73" s="2"/>
      <c r="AK73" s="2"/>
      <c r="AL73" s="2"/>
      <c r="AM73" s="2"/>
      <c r="AN73" s="2"/>
      <c r="AO73" s="2"/>
      <c r="AP73" s="2"/>
    </row>
    <row r="74" spans="1:42" ht="47.25" customHeight="1" x14ac:dyDescent="0.4">
      <c r="A74" s="28"/>
      <c r="B74" s="7"/>
      <c r="S74" s="42"/>
      <c r="T74" s="42"/>
      <c r="V74" s="38"/>
      <c r="W74" s="167"/>
      <c r="X74" s="192"/>
      <c r="Y74" s="192"/>
      <c r="Z74" s="192"/>
      <c r="AA74" s="192"/>
      <c r="AB74" s="168"/>
      <c r="AC74" s="174" t="s">
        <v>48</v>
      </c>
      <c r="AD74" s="175">
        <v>2</v>
      </c>
      <c r="AE74" s="176" t="s">
        <v>33</v>
      </c>
      <c r="AF74" s="171"/>
      <c r="AG74" s="171"/>
      <c r="AH74" s="171"/>
      <c r="AI74" s="2"/>
      <c r="AJ74" s="2"/>
      <c r="AK74" s="2"/>
      <c r="AL74" s="2"/>
      <c r="AM74" s="2"/>
      <c r="AN74" s="2"/>
      <c r="AO74" s="2"/>
      <c r="AP74" s="2"/>
    </row>
    <row r="75" spans="1:42" ht="36.75" customHeight="1" x14ac:dyDescent="0.4">
      <c r="A75" s="28"/>
      <c r="B75" s="7"/>
      <c r="H75" s="114"/>
      <c r="I75" s="114"/>
      <c r="J75" s="114"/>
      <c r="K75" s="114"/>
      <c r="L75" s="45"/>
      <c r="M75" s="79"/>
      <c r="N75" s="41"/>
      <c r="O75" s="42"/>
      <c r="P75" s="42"/>
      <c r="Q75" s="42"/>
      <c r="R75" s="42"/>
      <c r="S75" s="42"/>
      <c r="T75" s="42"/>
      <c r="V75" s="38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88.5" customHeight="1" x14ac:dyDescent="0.3">
      <c r="D76" s="96"/>
      <c r="O76" s="98"/>
      <c r="P76" s="178" t="s">
        <v>30</v>
      </c>
      <c r="Q76" s="178"/>
      <c r="R76" s="178"/>
      <c r="S76" s="178"/>
      <c r="T76" s="22"/>
      <c r="U76" s="97"/>
      <c r="W76" s="179" t="s">
        <v>35</v>
      </c>
      <c r="X76" s="179"/>
      <c r="Y76" s="179"/>
      <c r="Z76" s="179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26.25" x14ac:dyDescent="0.25">
      <c r="A77" s="28"/>
      <c r="F77" s="43"/>
      <c r="P77" s="102"/>
      <c r="Q77" s="102"/>
      <c r="R77" s="117"/>
      <c r="S77" s="118"/>
      <c r="T77" s="22"/>
      <c r="W77" s="129"/>
      <c r="X77" s="129"/>
      <c r="Y77" s="135"/>
      <c r="Z77" s="139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25">
      <c r="P78" s="102"/>
      <c r="Q78" s="102"/>
      <c r="R78" s="117"/>
      <c r="S78" s="118"/>
      <c r="T78" s="22"/>
      <c r="W78" s="129"/>
      <c r="X78" s="129"/>
      <c r="Y78" s="135"/>
      <c r="Z78" s="139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25">
      <c r="P79" s="119" t="s">
        <v>11</v>
      </c>
      <c r="Q79" s="120">
        <v>52</v>
      </c>
      <c r="R79" s="134">
        <v>53.5</v>
      </c>
      <c r="S79" s="121">
        <v>55</v>
      </c>
      <c r="T79" s="22"/>
      <c r="W79" s="130" t="s">
        <v>11</v>
      </c>
      <c r="X79" s="129">
        <v>52</v>
      </c>
      <c r="Y79" s="136">
        <v>53.5</v>
      </c>
      <c r="Z79" s="140">
        <v>55</v>
      </c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27.75" customHeight="1" x14ac:dyDescent="0.25">
      <c r="A80" s="95"/>
      <c r="P80" s="102" t="s">
        <v>12</v>
      </c>
      <c r="Q80" s="102"/>
      <c r="R80" s="117"/>
      <c r="S80" s="118"/>
      <c r="T80" s="22"/>
      <c r="W80" s="129" t="s">
        <v>12</v>
      </c>
      <c r="X80" s="129"/>
      <c r="Y80" s="135"/>
      <c r="Z80" s="139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25">
      <c r="P81" s="102"/>
      <c r="Q81" s="102"/>
      <c r="R81" s="117"/>
      <c r="S81" s="118"/>
      <c r="T81" s="22"/>
      <c r="W81" s="129"/>
      <c r="X81" s="129"/>
      <c r="Y81" s="135"/>
      <c r="Z81" s="139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8.75" x14ac:dyDescent="0.25">
      <c r="A82" s="95"/>
      <c r="O82" s="40"/>
      <c r="P82" s="120">
        <v>282</v>
      </c>
      <c r="Q82" s="122">
        <v>3.59</v>
      </c>
      <c r="R82" s="123">
        <v>2.36</v>
      </c>
      <c r="S82" s="124">
        <v>1.29</v>
      </c>
      <c r="T82" s="22"/>
      <c r="W82" s="132">
        <v>282</v>
      </c>
      <c r="X82" s="132">
        <v>639</v>
      </c>
      <c r="Y82" s="137">
        <v>644</v>
      </c>
      <c r="Z82" s="141">
        <v>648</v>
      </c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5">
      <c r="A83" s="29"/>
      <c r="O83" s="40"/>
      <c r="P83" s="125"/>
      <c r="Q83" s="126"/>
      <c r="R83" s="127"/>
      <c r="S83" s="128"/>
      <c r="T83" s="22"/>
      <c r="W83" s="131"/>
      <c r="X83" s="131"/>
      <c r="Y83" s="138"/>
      <c r="Z83" s="140"/>
    </row>
    <row r="84" spans="1:42" x14ac:dyDescent="0.25">
      <c r="O84" s="76"/>
      <c r="P84" s="107">
        <v>287</v>
      </c>
      <c r="Q84" s="122">
        <v>1.35</v>
      </c>
      <c r="R84" s="108">
        <v>0.6</v>
      </c>
      <c r="S84" s="124">
        <v>1.19</v>
      </c>
      <c r="T84" s="22"/>
      <c r="W84" s="133">
        <v>287</v>
      </c>
      <c r="X84" s="132">
        <v>642</v>
      </c>
      <c r="Y84" s="136">
        <v>647</v>
      </c>
      <c r="Z84" s="141">
        <v>652</v>
      </c>
    </row>
    <row r="85" spans="1:42" x14ac:dyDescent="0.25">
      <c r="O85" s="40"/>
      <c r="P85" s="125"/>
      <c r="Q85" s="126"/>
      <c r="R85" s="127"/>
      <c r="S85" s="128"/>
      <c r="T85" s="22"/>
      <c r="W85" s="131"/>
      <c r="X85" s="132"/>
      <c r="Y85" s="138"/>
      <c r="Z85" s="140"/>
    </row>
    <row r="86" spans="1:42" x14ac:dyDescent="0.25">
      <c r="O86" s="40"/>
      <c r="P86" s="120">
        <v>292</v>
      </c>
      <c r="Q86" s="122">
        <v>1.4</v>
      </c>
      <c r="R86" s="123">
        <v>2.33</v>
      </c>
      <c r="S86" s="124">
        <v>3.25</v>
      </c>
      <c r="T86" s="22"/>
      <c r="W86" s="132">
        <v>292</v>
      </c>
      <c r="X86" s="132">
        <v>646</v>
      </c>
      <c r="Y86" s="137">
        <v>650</v>
      </c>
      <c r="Z86" s="141">
        <v>655</v>
      </c>
    </row>
    <row r="87" spans="1:42" x14ac:dyDescent="0.25">
      <c r="R87" s="75"/>
      <c r="S87" s="97"/>
      <c r="Y87" s="75"/>
      <c r="Z87" s="97"/>
    </row>
    <row r="88" spans="1:42" x14ac:dyDescent="0.25">
      <c r="Q88" s="186"/>
      <c r="R88" s="186"/>
      <c r="S88" s="97"/>
      <c r="X88" s="186" t="s">
        <v>31</v>
      </c>
      <c r="Y88" s="186"/>
      <c r="Z88" s="97"/>
    </row>
    <row r="89" spans="1:42" x14ac:dyDescent="0.25">
      <c r="Y89" s="75"/>
      <c r="Z89" s="97"/>
    </row>
    <row r="100" hidden="1" x14ac:dyDescent="0.25"/>
    <row r="101" hidden="1" x14ac:dyDescent="0.25"/>
    <row r="102" hidden="1" x14ac:dyDescent="0.25"/>
    <row r="103" ht="14.25" customHeight="1" x14ac:dyDescent="0.25"/>
    <row r="104" ht="172.5" customHeight="1" x14ac:dyDescent="0.25"/>
  </sheetData>
  <mergeCells count="18">
    <mergeCell ref="Q88:R88"/>
    <mergeCell ref="X88:Y88"/>
    <mergeCell ref="AG1:AH1"/>
    <mergeCell ref="AB1:AE1"/>
    <mergeCell ref="J66:L66"/>
    <mergeCell ref="N1:Q1"/>
    <mergeCell ref="R1:T1"/>
    <mergeCell ref="X70:AA74"/>
    <mergeCell ref="J67:L68"/>
    <mergeCell ref="F66:H68"/>
    <mergeCell ref="P76:S76"/>
    <mergeCell ref="W76:Z76"/>
    <mergeCell ref="W69:AH69"/>
    <mergeCell ref="B1:D1"/>
    <mergeCell ref="F1:H1"/>
    <mergeCell ref="J1:L1"/>
    <mergeCell ref="W1:Z1"/>
    <mergeCell ref="B66:D68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38B8F-7555-4429-B178-B1F5F0C0D487}">
  <dimension ref="A1"/>
  <sheetViews>
    <sheetView zoomScaleNormal="100" workbookViewId="0">
      <selection activeCell="E13" sqref="E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F1DC-0D75-4DF8-999F-7D7509C4A956}">
  <dimension ref="A1"/>
  <sheetViews>
    <sheetView topLeftCell="A2" workbookViewId="0">
      <selection activeCell="U37" sqref="U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F4E3B-E231-4B94-A93D-40C1616D2458}">
  <dimension ref="A1"/>
  <sheetViews>
    <sheetView topLeftCell="AW1" zoomScaleNormal="100" workbookViewId="0">
      <selection activeCell="BW25" sqref="BW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6BC2F-92FF-47B3-8BC5-BA5C9D4AE611}">
  <dimension ref="A1"/>
  <sheetViews>
    <sheetView zoomScale="89" zoomScaleNormal="89" workbookViewId="0">
      <selection activeCell="Y23" sqref="Y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9379-FA80-4B90-ABD4-1DD1FA7CC3E2}">
  <dimension ref="A1"/>
  <sheetViews>
    <sheetView topLeftCell="H1" workbookViewId="0">
      <selection activeCell="AD15" sqref="AD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Calculus</vt:lpstr>
      <vt:lpstr>Input data</vt:lpstr>
      <vt:lpstr>Analytical</vt:lpstr>
      <vt:lpstr>Deviations</vt:lpstr>
      <vt:lpstr>Future scenarios</vt:lpstr>
      <vt:lpstr>Airborne fraction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2020-05-28T20:53:21Z</cp:lastPrinted>
  <dcterms:created xsi:type="dcterms:W3CDTF">2020-05-08T15:11:14Z</dcterms:created>
  <dcterms:modified xsi:type="dcterms:W3CDTF">2020-06-07T09:34:15Z</dcterms:modified>
</cp:coreProperties>
</file>